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ate1904="1" defaultThemeVersion="124226"/>
  <mc:AlternateContent xmlns:mc="http://schemas.openxmlformats.org/markup-compatibility/2006">
    <mc:Choice Requires="x15">
      <x15ac:absPath xmlns:x15ac="http://schemas.microsoft.com/office/spreadsheetml/2010/11/ac" url="C:\Users\naohiro2\OneDrive - Hiroshima University\●01.社外共同研究\●AIJ減衰小委員会\202310データベース英語版\1120check後\犬伏・宮津+中村修正後\"/>
    </mc:Choice>
  </mc:AlternateContent>
  <xr:revisionPtr revIDLastSave="45" documentId="13_ncr:1_{E270982A-BD8F-4BD9-AB2C-899A51D8D67C}" xr6:coauthVersionLast="36" xr6:coauthVersionMax="47" xr10:uidLastSave="{E6B33978-B2A7-49D1-9E4A-459136D17DBB}"/>
  <bookViews>
    <workbookView xWindow="10350" yWindow="945" windowWidth="17565" windowHeight="13740" tabRatio="545" activeTab="1" xr2:uid="{00000000-000D-0000-FFFF-FFFF00000000}"/>
  </bookViews>
  <sheets>
    <sheet name="Notice" sheetId="10" r:id="rId1"/>
    <sheet name="Towers" sheetId="8" r:id="rId2"/>
    <sheet name="Steel lattice towers" sheetId="7" r:id="rId3"/>
    <sheet name="Chimneys" sheetId="6" r:id="rId4"/>
  </sheets>
  <definedNames>
    <definedName name="_xlnm.Print_Titles" localSheetId="3">Chimneys!$A:$A,Chimneys!$1:$3</definedName>
    <definedName name="_xlnm.Print_Titles" localSheetId="2">'Steel lattice towers'!$A:$A,'Steel lattice towers'!$1:$3</definedName>
    <definedName name="_xlnm.Print_Titles" localSheetId="1">Towers!$A:$A,Towers!$1:$3</definedName>
  </definedNames>
  <calcPr calcId="191029"/>
</workbook>
</file>

<file path=xl/calcChain.xml><?xml version="1.0" encoding="utf-8"?>
<calcChain xmlns="http://schemas.openxmlformats.org/spreadsheetml/2006/main">
  <c r="AD89" i="8" l="1"/>
  <c r="AC89" i="8"/>
  <c r="AB89" i="8"/>
  <c r="AA89" i="8"/>
  <c r="Z89" i="8"/>
  <c r="Y89" i="8"/>
  <c r="X89" i="8"/>
  <c r="W89" i="8"/>
  <c r="V89" i="8"/>
  <c r="U89" i="8"/>
  <c r="AE88" i="8"/>
  <c r="AD88" i="8"/>
  <c r="AC88" i="8"/>
  <c r="AB88" i="8"/>
  <c r="AA88" i="8"/>
  <c r="Z88" i="8"/>
  <c r="Y88" i="8"/>
  <c r="X88" i="8"/>
  <c r="W88" i="8"/>
  <c r="V88" i="8"/>
  <c r="U88" i="8"/>
  <c r="T88" i="8"/>
  <c r="V130" i="7"/>
  <c r="V129" i="7"/>
  <c r="V127" i="7"/>
  <c r="V126" i="7"/>
  <c r="V125" i="7"/>
  <c r="V124" i="7"/>
  <c r="V121" i="7"/>
  <c r="V120" i="7"/>
  <c r="V118" i="7"/>
  <c r="V117" i="7"/>
  <c r="V115" i="7"/>
  <c r="V114" i="7"/>
  <c r="V112" i="7"/>
  <c r="V111" i="7"/>
  <c r="V110" i="7"/>
  <c r="V109" i="7"/>
  <c r="V101" i="7"/>
  <c r="V100" i="7"/>
  <c r="Y91" i="7"/>
  <c r="V91" i="7"/>
  <c r="Y90" i="7"/>
  <c r="V90" i="7"/>
  <c r="Y89" i="7"/>
  <c r="V89" i="7"/>
  <c r="Y88" i="7"/>
  <c r="V88" i="7"/>
  <c r="AB86" i="7"/>
  <c r="Y86" i="7"/>
  <c r="V86" i="7"/>
  <c r="Y84" i="7"/>
  <c r="V84" i="7"/>
  <c r="Y81" i="7"/>
  <c r="V81" i="7"/>
  <c r="AB79" i="7"/>
  <c r="Z79" i="7"/>
  <c r="Y79" i="7"/>
  <c r="V79" i="7"/>
  <c r="AB78" i="7"/>
  <c r="Z78" i="7"/>
  <c r="Y78" i="7"/>
  <c r="W78" i="7"/>
  <c r="V78" i="7"/>
  <c r="AI76" i="7"/>
  <c r="AF76" i="7"/>
  <c r="Y76" i="7"/>
  <c r="Y75" i="7"/>
  <c r="Z72" i="7"/>
  <c r="Y72" i="7"/>
  <c r="W72" i="7"/>
  <c r="V72" i="7"/>
  <c r="Z71" i="7"/>
  <c r="Y71" i="7"/>
  <c r="W71" i="7"/>
  <c r="V71" i="7"/>
  <c r="Y70" i="7"/>
  <c r="V70" i="7"/>
  <c r="Z66" i="7"/>
  <c r="Y66" i="7"/>
  <c r="W66" i="7"/>
  <c r="V66" i="7"/>
  <c r="Z65" i="7"/>
  <c r="Y65" i="7"/>
  <c r="W65" i="7"/>
  <c r="V65" i="7"/>
  <c r="Z64" i="7"/>
  <c r="Y64" i="7"/>
  <c r="W64" i="7"/>
  <c r="V64" i="7"/>
  <c r="Y63" i="7"/>
  <c r="Z62" i="7"/>
  <c r="Y62" i="7"/>
  <c r="W62" i="7"/>
  <c r="V62" i="7"/>
  <c r="Z61" i="7"/>
  <c r="Y61" i="7"/>
  <c r="W61" i="7"/>
  <c r="V61" i="7"/>
  <c r="Z60" i="7"/>
  <c r="Y60" i="7"/>
  <c r="W60" i="7"/>
  <c r="V60" i="7"/>
  <c r="AB59" i="7"/>
  <c r="V59" i="7"/>
  <c r="V55" i="7"/>
  <c r="AB54" i="7"/>
  <c r="Y54" i="7"/>
  <c r="V54" i="7"/>
  <c r="V51" i="7"/>
  <c r="AB50" i="7"/>
  <c r="Y50" i="7"/>
  <c r="V50" i="7"/>
  <c r="Z47" i="7"/>
  <c r="Y47" i="7"/>
  <c r="W47" i="7"/>
  <c r="V47" i="7"/>
  <c r="Y44" i="7"/>
  <c r="V44" i="7"/>
  <c r="AB43" i="7"/>
  <c r="Z43" i="7"/>
  <c r="Y43" i="7"/>
  <c r="W43" i="7"/>
  <c r="V43" i="7"/>
  <c r="V40" i="7"/>
  <c r="V39" i="7"/>
  <c r="Y38" i="7"/>
  <c r="V38" i="7"/>
  <c r="Z36" i="7"/>
  <c r="Y36" i="7"/>
  <c r="W36" i="7"/>
  <c r="V36" i="7"/>
  <c r="Z35" i="7"/>
  <c r="Y35" i="7"/>
  <c r="W35" i="7"/>
  <c r="V35" i="7"/>
  <c r="V34" i="7"/>
  <c r="Z33" i="7"/>
  <c r="Y33" i="7"/>
  <c r="W33" i="7"/>
  <c r="V33" i="7"/>
  <c r="Z32" i="7"/>
  <c r="Y32" i="7"/>
  <c r="W32" i="7"/>
  <c r="V32" i="7"/>
  <c r="Z31" i="7"/>
  <c r="Y31" i="7"/>
  <c r="W31" i="7"/>
  <c r="V31" i="7"/>
  <c r="Z30" i="7"/>
  <c r="Y30" i="7"/>
  <c r="W30" i="7"/>
  <c r="V30" i="7"/>
  <c r="Y27" i="7"/>
  <c r="V27" i="7"/>
  <c r="Z26" i="7"/>
  <c r="Y26" i="7"/>
  <c r="W26" i="7"/>
  <c r="V26" i="7"/>
  <c r="AB25" i="7"/>
  <c r="Z25" i="7"/>
  <c r="Y25" i="7"/>
  <c r="W25" i="7"/>
  <c r="V25" i="7"/>
  <c r="AA24" i="7"/>
  <c r="Z24" i="7"/>
  <c r="Y24" i="7"/>
  <c r="W24" i="7"/>
  <c r="V24" i="7"/>
  <c r="AB23" i="7"/>
  <c r="AA23" i="7"/>
  <c r="Z23" i="7"/>
  <c r="Y23" i="7"/>
  <c r="X23" i="7"/>
  <c r="W23" i="7"/>
  <c r="V23" i="7"/>
  <c r="Y22" i="7"/>
  <c r="V22" i="7"/>
  <c r="Z20" i="7"/>
  <c r="Y20" i="7"/>
  <c r="W20" i="7"/>
  <c r="V20" i="7"/>
  <c r="AB19" i="7"/>
  <c r="Z19" i="7"/>
  <c r="Y19" i="7"/>
  <c r="W19" i="7"/>
  <c r="V19" i="7"/>
  <c r="Z18" i="7"/>
  <c r="Y18" i="7"/>
  <c r="W18" i="7"/>
  <c r="V18" i="7"/>
  <c r="Z17" i="7"/>
  <c r="Y17" i="7"/>
  <c r="W17" i="7"/>
  <c r="V17" i="7"/>
  <c r="AB16" i="7"/>
  <c r="Z16" i="7"/>
  <c r="Y16" i="7"/>
  <c r="W16" i="7"/>
  <c r="V16" i="7"/>
  <c r="Z15" i="7"/>
  <c r="Y15" i="7"/>
  <c r="W15" i="7"/>
  <c r="V15" i="7"/>
  <c r="Z14" i="7"/>
  <c r="Y14" i="7"/>
  <c r="W14" i="7"/>
  <c r="V14" i="7"/>
  <c r="Y13" i="7"/>
  <c r="V13" i="7"/>
  <c r="Z12" i="7"/>
  <c r="Y12" i="7"/>
  <c r="W12" i="7"/>
  <c r="V12" i="7"/>
  <c r="Z11" i="7"/>
  <c r="Y11" i="7"/>
  <c r="W11" i="7"/>
  <c r="V11" i="7"/>
  <c r="Z10" i="7"/>
  <c r="Y10" i="7"/>
  <c r="W10" i="7"/>
  <c r="V10" i="7"/>
  <c r="Z9" i="7"/>
  <c r="Y9" i="7"/>
  <c r="W9" i="7"/>
  <c r="V9" i="7"/>
  <c r="Z8" i="7"/>
  <c r="Y8" i="7"/>
  <c r="W8" i="7"/>
  <c r="V8" i="7"/>
  <c r="AB7" i="7"/>
  <c r="Z7" i="7"/>
  <c r="Y7" i="7"/>
  <c r="AB6" i="7"/>
  <c r="Z6" i="7"/>
  <c r="Y6" i="7"/>
  <c r="W97" i="7"/>
  <c r="V97" i="7"/>
  <c r="X96" i="7"/>
  <c r="W96" i="7"/>
  <c r="V96" i="7"/>
  <c r="V95" i="7"/>
  <c r="V94" i="7"/>
  <c r="Y48" i="8"/>
  <c r="V48" i="8"/>
  <c r="Y47" i="8"/>
  <c r="V47" i="8"/>
  <c r="Y35" i="8"/>
  <c r="V35" i="8"/>
  <c r="Y34" i="8"/>
  <c r="V34" i="8"/>
  <c r="Y29" i="8"/>
  <c r="V29" i="8"/>
  <c r="Y28" i="8"/>
  <c r="V28" i="8"/>
  <c r="Y24" i="8"/>
  <c r="V24" i="8"/>
  <c r="Y23" i="8"/>
  <c r="V23" i="8"/>
  <c r="X17" i="6"/>
  <c r="X16" i="6"/>
  <c r="W21" i="6"/>
  <c r="V21" i="6"/>
  <c r="W20" i="6"/>
  <c r="V20" i="6"/>
  <c r="W19" i="6"/>
  <c r="V19" i="6"/>
  <c r="W18" i="6"/>
  <c r="V18" i="6"/>
  <c r="W17" i="6"/>
  <c r="W16" i="6"/>
  <c r="V17" i="6"/>
  <c r="V16" i="6"/>
  <c r="W26" i="6"/>
  <c r="V26" i="6"/>
  <c r="AA36" i="6"/>
  <c r="Z36" i="6"/>
  <c r="Y36" i="6"/>
  <c r="X36" i="6"/>
  <c r="W36" i="6"/>
  <c r="V36" i="6"/>
  <c r="Q36" i="6"/>
  <c r="P36" i="6"/>
  <c r="W25" i="6"/>
  <c r="V25" i="6"/>
  <c r="X24" i="6"/>
  <c r="W24" i="6"/>
  <c r="V24" i="6"/>
  <c r="AA23" i="6"/>
  <c r="Z23" i="6"/>
  <c r="Y23" i="6"/>
  <c r="X23" i="6"/>
  <c r="W23" i="6"/>
  <c r="V23" i="6"/>
  <c r="Z50" i="6"/>
  <c r="W50" i="6"/>
  <c r="Y50" i="6"/>
  <c r="V50" i="6"/>
  <c r="V49" i="6"/>
  <c r="Z55" i="6"/>
  <c r="W55" i="6"/>
  <c r="Y57" i="6"/>
  <c r="V57" i="6"/>
  <c r="Y55" i="6"/>
  <c r="V55" i="6"/>
  <c r="Y54" i="6"/>
  <c r="Z52" i="6"/>
  <c r="W52" i="6"/>
  <c r="V52" i="6"/>
  <c r="Z51" i="6"/>
  <c r="W51" i="6"/>
  <c r="Y52" i="6"/>
  <c r="Y51" i="6"/>
  <c r="V51" i="6"/>
</calcChain>
</file>

<file path=xl/sharedStrings.xml><?xml version="1.0" encoding="utf-8"?>
<sst xmlns="http://schemas.openxmlformats.org/spreadsheetml/2006/main" count="3886" uniqueCount="400">
  <si>
    <t>2a</t>
    <phoneticPr fontId="1"/>
  </si>
  <si>
    <t>2b</t>
    <phoneticPr fontId="1"/>
  </si>
  <si>
    <t>3a</t>
    <phoneticPr fontId="1"/>
  </si>
  <si>
    <t>0.4*</t>
    <phoneticPr fontId="1"/>
  </si>
  <si>
    <t>4.0*</t>
    <phoneticPr fontId="1"/>
  </si>
  <si>
    <t>4a</t>
    <phoneticPr fontId="1"/>
  </si>
  <si>
    <t>4b</t>
    <phoneticPr fontId="1"/>
  </si>
  <si>
    <t>1a</t>
    <phoneticPr fontId="1"/>
  </si>
  <si>
    <t>1b</t>
    <phoneticPr fontId="1"/>
  </si>
  <si>
    <t>1c</t>
    <phoneticPr fontId="1"/>
  </si>
  <si>
    <t>1d</t>
    <phoneticPr fontId="1"/>
  </si>
  <si>
    <t>23*</t>
  </si>
  <si>
    <t>—</t>
  </si>
  <si>
    <t>3b</t>
    <phoneticPr fontId="1"/>
  </si>
  <si>
    <t>0.69*</t>
  </si>
  <si>
    <t>1983</t>
  </si>
  <si>
    <t>φ</t>
  </si>
  <si>
    <t>1987</t>
  </si>
  <si>
    <t>1975</t>
  </si>
  <si>
    <t>1993</t>
  </si>
  <si>
    <t>1981</t>
  </si>
  <si>
    <t>1985</t>
  </si>
  <si>
    <t>1977</t>
  </si>
  <si>
    <t>a</t>
  </si>
  <si>
    <t>b</t>
  </si>
  <si>
    <t>1991</t>
  </si>
  <si>
    <t>1978</t>
  </si>
  <si>
    <t>1979</t>
  </si>
  <si>
    <t>20-28</t>
    <phoneticPr fontId="1"/>
  </si>
  <si>
    <t>1994-1995</t>
    <phoneticPr fontId="1"/>
  </si>
  <si>
    <t>1997</t>
    <phoneticPr fontId="1"/>
  </si>
  <si>
    <t>—</t>
    <phoneticPr fontId="1"/>
  </si>
  <si>
    <t>13-28</t>
    <phoneticPr fontId="1"/>
  </si>
  <si>
    <t>12-28</t>
    <phoneticPr fontId="1"/>
  </si>
  <si>
    <t>1a</t>
    <phoneticPr fontId="1"/>
  </si>
  <si>
    <t>100*</t>
    <phoneticPr fontId="1"/>
  </si>
  <si>
    <t>75*</t>
    <phoneticPr fontId="1"/>
  </si>
  <si>
    <t>2b</t>
    <phoneticPr fontId="1"/>
  </si>
  <si>
    <t>-</t>
    <phoneticPr fontId="1"/>
  </si>
  <si>
    <t>1966</t>
    <phoneticPr fontId="1"/>
  </si>
  <si>
    <t>1957</t>
    <phoneticPr fontId="1"/>
  </si>
  <si>
    <t>1972</t>
    <phoneticPr fontId="1"/>
  </si>
  <si>
    <t>1974</t>
    <phoneticPr fontId="1"/>
  </si>
  <si>
    <t>1978</t>
    <phoneticPr fontId="1"/>
  </si>
  <si>
    <t>1976</t>
    <phoneticPr fontId="1"/>
  </si>
  <si>
    <t>-</t>
  </si>
  <si>
    <r>
      <t xml:space="preserve">Actual Measurement Damping Database of Full-Scale Buildings and Architecture (Released in December 2020)
</t>
    </r>
    <r>
      <rPr>
        <b/>
        <sz val="11"/>
        <color rgb="FFFF0000"/>
        <rFont val="Osaka"/>
        <family val="3"/>
        <charset val="128"/>
      </rPr>
      <t>【</t>
    </r>
    <r>
      <rPr>
        <b/>
        <sz val="11"/>
        <color rgb="FFFF0000"/>
        <rFont val="Times New Roman"/>
        <family val="1"/>
      </rPr>
      <t>Notes</t>
    </r>
    <r>
      <rPr>
        <b/>
        <sz val="11"/>
        <color rgb="FFFF0000"/>
        <rFont val="Osaka"/>
        <family val="3"/>
        <charset val="128"/>
      </rPr>
      <t>】
・</t>
    </r>
    <r>
      <rPr>
        <b/>
        <sz val="11"/>
        <color rgb="FFFF0000"/>
        <rFont val="Times New Roman"/>
        <family val="1"/>
      </rPr>
      <t xml:space="preserve">When using this database, it is up to the user to select and interpret the data.  The AIJ shall not be responsible for any damages or other disadvantages arising from the use of this data.
</t>
    </r>
    <r>
      <rPr>
        <b/>
        <sz val="11"/>
        <color rgb="FFFF0000"/>
        <rFont val="Osaka"/>
        <family val="3"/>
        <charset val="128"/>
      </rPr>
      <t>・</t>
    </r>
    <r>
      <rPr>
        <b/>
        <sz val="11"/>
        <color rgb="FFFF0000"/>
        <rFont val="Times New Roman"/>
        <family val="1"/>
      </rPr>
      <t>When using this database to publish papers and the other results, please be sure to mention that you used this database.</t>
    </r>
    <phoneticPr fontId="1"/>
  </si>
  <si>
    <t>Steel Tower-1</t>
    <phoneticPr fontId="1"/>
  </si>
  <si>
    <t>Steel Tower-2</t>
  </si>
  <si>
    <t>Steel Tower-3</t>
  </si>
  <si>
    <t>Steel Tower-4</t>
  </si>
  <si>
    <t>Steel Tower-5</t>
  </si>
  <si>
    <t>Steel Tower-6</t>
  </si>
  <si>
    <t>Steel Tower-7</t>
  </si>
  <si>
    <t>Steel Tower-8</t>
  </si>
  <si>
    <t>Steel Tower-9</t>
  </si>
  <si>
    <t>Steel Tower-10</t>
  </si>
  <si>
    <t>Steel Tower-11</t>
  </si>
  <si>
    <t>Steel Tower-12</t>
  </si>
  <si>
    <t>Steel Tower-13</t>
  </si>
  <si>
    <t>Steel Tower-14</t>
  </si>
  <si>
    <t>Steel Tower-15</t>
  </si>
  <si>
    <t>Steel Tower-16</t>
  </si>
  <si>
    <t>Steel Tower-17</t>
  </si>
  <si>
    <t>Steel Tower-18</t>
  </si>
  <si>
    <t>Steel Tower-19</t>
  </si>
  <si>
    <t>Steel Tower-20</t>
  </si>
  <si>
    <r>
      <t>1987</t>
    </r>
    <r>
      <rPr>
        <sz val="9"/>
        <rFont val="ＭＳ Ｐ明朝"/>
        <family val="1"/>
        <charset val="128"/>
      </rPr>
      <t>〜</t>
    </r>
    <r>
      <rPr>
        <sz val="9"/>
        <rFont val="Times New Roman"/>
        <family val="1"/>
      </rPr>
      <t>88</t>
    </r>
    <phoneticPr fontId="1"/>
  </si>
  <si>
    <t>Tokyo</t>
    <phoneticPr fontId="1"/>
  </si>
  <si>
    <t>Fukuoka</t>
    <phoneticPr fontId="1"/>
  </si>
  <si>
    <t>Kagawa</t>
    <phoneticPr fontId="1"/>
  </si>
  <si>
    <t>Aichi</t>
    <phoneticPr fontId="1"/>
  </si>
  <si>
    <t>Chiba</t>
    <phoneticPr fontId="1"/>
  </si>
  <si>
    <t>Akita</t>
    <phoneticPr fontId="1"/>
  </si>
  <si>
    <t>Kanagawa</t>
    <phoneticPr fontId="1"/>
  </si>
  <si>
    <t>Osaka</t>
    <phoneticPr fontId="1"/>
  </si>
  <si>
    <t>Nagasaki</t>
    <phoneticPr fontId="1"/>
  </si>
  <si>
    <t>Hokkaido</t>
  </si>
  <si>
    <t>Hokkaido</t>
    <phoneticPr fontId="1"/>
  </si>
  <si>
    <t>Diamond</t>
    <phoneticPr fontId="1"/>
  </si>
  <si>
    <t>Irregular</t>
    <phoneticPr fontId="1"/>
  </si>
  <si>
    <t>pile</t>
  </si>
  <si>
    <t>MP</t>
  </si>
  <si>
    <t>MP</t>
    <phoneticPr fontId="1"/>
  </si>
  <si>
    <t>W</t>
  </si>
  <si>
    <t>F</t>
  </si>
  <si>
    <t>MI</t>
  </si>
  <si>
    <t>R</t>
  </si>
  <si>
    <t>H</t>
  </si>
  <si>
    <t>H(PS)</t>
  </si>
  <si>
    <t>RD</t>
  </si>
  <si>
    <t>LD</t>
  </si>
  <si>
    <t>LD</t>
    <phoneticPr fontId="1"/>
  </si>
  <si>
    <t>E</t>
  </si>
  <si>
    <t>E</t>
    <phoneticPr fontId="1"/>
  </si>
  <si>
    <t>MI</t>
    <phoneticPr fontId="1"/>
  </si>
  <si>
    <t>R</t>
    <phoneticPr fontId="1"/>
  </si>
  <si>
    <t>F</t>
    <phoneticPr fontId="1"/>
  </si>
  <si>
    <t>W</t>
    <phoneticPr fontId="1"/>
  </si>
  <si>
    <r>
      <rPr>
        <sz val="9"/>
        <rFont val="ＭＳ Ｐ明朝"/>
        <family val="1"/>
        <charset val="128"/>
      </rPr>
      <t>－</t>
    </r>
    <phoneticPr fontId="1"/>
  </si>
  <si>
    <r>
      <t>1995</t>
    </r>
    <r>
      <rPr>
        <sz val="9"/>
        <rFont val="ＭＳ Ｐ明朝"/>
        <family val="1"/>
        <charset val="128"/>
      </rPr>
      <t>〜</t>
    </r>
    <r>
      <rPr>
        <sz val="9"/>
        <rFont val="Times New Roman"/>
        <family val="1"/>
      </rPr>
      <t>96</t>
    </r>
    <phoneticPr fontId="1"/>
  </si>
  <si>
    <t>Notes</t>
    <phoneticPr fontId="1"/>
  </si>
  <si>
    <t>R/C Tower-1</t>
    <phoneticPr fontId="1"/>
  </si>
  <si>
    <t>R/C Tower-2</t>
    <phoneticPr fontId="1"/>
  </si>
  <si>
    <t>R/C Tower-3</t>
    <phoneticPr fontId="1"/>
  </si>
  <si>
    <t>R/C Tower-4</t>
    <phoneticPr fontId="1"/>
  </si>
  <si>
    <t>GST-1</t>
    <phoneticPr fontId="1"/>
  </si>
  <si>
    <t>GST-2</t>
    <phoneticPr fontId="1"/>
  </si>
  <si>
    <t>GST-3</t>
    <phoneticPr fontId="1"/>
  </si>
  <si>
    <t>GST-4</t>
    <phoneticPr fontId="1"/>
  </si>
  <si>
    <t>GST.-5</t>
    <phoneticPr fontId="1"/>
  </si>
  <si>
    <t>GST-6</t>
    <phoneticPr fontId="1"/>
  </si>
  <si>
    <t>GST-7</t>
    <phoneticPr fontId="1"/>
  </si>
  <si>
    <t>GST-8</t>
    <phoneticPr fontId="1"/>
  </si>
  <si>
    <t>GST-9</t>
    <phoneticPr fontId="1"/>
  </si>
  <si>
    <t>GST-10</t>
    <phoneticPr fontId="1"/>
  </si>
  <si>
    <t>GST-11</t>
    <phoneticPr fontId="1"/>
  </si>
  <si>
    <t>GST-12</t>
    <phoneticPr fontId="1"/>
  </si>
  <si>
    <t>GST-13</t>
    <phoneticPr fontId="1"/>
  </si>
  <si>
    <t>GST-14</t>
    <phoneticPr fontId="1"/>
  </si>
  <si>
    <t>GST-15</t>
    <phoneticPr fontId="1"/>
  </si>
  <si>
    <t>GST-16</t>
  </si>
  <si>
    <t>GST-17</t>
  </si>
  <si>
    <t>GST-18</t>
  </si>
  <si>
    <t>GST-19</t>
  </si>
  <si>
    <t>GST-20</t>
  </si>
  <si>
    <t>GST-21</t>
  </si>
  <si>
    <t>GST-22</t>
  </si>
  <si>
    <t>GST-23</t>
  </si>
  <si>
    <t>GST-24</t>
  </si>
  <si>
    <t>GST-25</t>
  </si>
  <si>
    <t>GST-26</t>
  </si>
  <si>
    <t>GST-27</t>
  </si>
  <si>
    <t>GST-28</t>
  </si>
  <si>
    <t>GST-29</t>
  </si>
  <si>
    <t>GST-30</t>
  </si>
  <si>
    <t>GST-31</t>
  </si>
  <si>
    <t>GST-32</t>
  </si>
  <si>
    <t>GST-33</t>
  </si>
  <si>
    <t>GST-34</t>
  </si>
  <si>
    <t>GST-35</t>
  </si>
  <si>
    <t>GST-36</t>
  </si>
  <si>
    <t>GST-37</t>
  </si>
  <si>
    <t>GST-38</t>
  </si>
  <si>
    <t>GST-39</t>
  </si>
  <si>
    <t>GST-40</t>
  </si>
  <si>
    <t>GST-41</t>
  </si>
  <si>
    <t>GST-42</t>
  </si>
  <si>
    <t>GST-43</t>
  </si>
  <si>
    <t>GST-44</t>
  </si>
  <si>
    <t>GST-45</t>
  </si>
  <si>
    <t>GST-46</t>
  </si>
  <si>
    <t>GST-47</t>
  </si>
  <si>
    <t>GST-48</t>
  </si>
  <si>
    <t>GST-49</t>
  </si>
  <si>
    <t>GST-50</t>
  </si>
  <si>
    <t>GST-51</t>
  </si>
  <si>
    <t>GST-52</t>
  </si>
  <si>
    <t>GST-53</t>
  </si>
  <si>
    <t>GST-54</t>
  </si>
  <si>
    <t>GST-55</t>
  </si>
  <si>
    <t>GST-56</t>
  </si>
  <si>
    <t>GST-57</t>
  </si>
  <si>
    <t>GST-58</t>
  </si>
  <si>
    <t>GST-59</t>
  </si>
  <si>
    <t>GST-60</t>
  </si>
  <si>
    <t>GST-61</t>
  </si>
  <si>
    <t>GST-62</t>
  </si>
  <si>
    <t>GST-63</t>
  </si>
  <si>
    <t>GST-64</t>
  </si>
  <si>
    <t>GST-65</t>
  </si>
  <si>
    <t>GST-66</t>
  </si>
  <si>
    <t>GST-67</t>
  </si>
  <si>
    <t>RST-1</t>
  </si>
  <si>
    <t>RST-2</t>
  </si>
  <si>
    <t>RST-3</t>
  </si>
  <si>
    <t>RST-4</t>
    <phoneticPr fontId="1"/>
  </si>
  <si>
    <t>RST-5</t>
  </si>
  <si>
    <t>RST-6</t>
  </si>
  <si>
    <t>RST-7</t>
  </si>
  <si>
    <t>RST-8</t>
  </si>
  <si>
    <t>RST-9</t>
  </si>
  <si>
    <t>RST-10</t>
  </si>
  <si>
    <t>RST-11</t>
  </si>
  <si>
    <t>RST-12</t>
  </si>
  <si>
    <t>RST-13</t>
  </si>
  <si>
    <t>RST-14</t>
  </si>
  <si>
    <t>RST-15</t>
  </si>
  <si>
    <t>RST-16</t>
  </si>
  <si>
    <t>RST-17</t>
  </si>
  <si>
    <t>RST-18</t>
  </si>
  <si>
    <t>RST-19</t>
  </si>
  <si>
    <t>RST-20</t>
  </si>
  <si>
    <t>Chimneys</t>
  </si>
  <si>
    <t>Chimneys</t>
    <phoneticPr fontId="1"/>
  </si>
  <si>
    <r>
      <rPr>
        <sz val="9"/>
        <rFont val="ＭＳ Ｐ明朝"/>
        <family val="1"/>
        <charset val="128"/>
      </rPr>
      <t>－</t>
    </r>
  </si>
  <si>
    <t>Ehime</t>
    <phoneticPr fontId="1"/>
  </si>
  <si>
    <t>Nara</t>
    <phoneticPr fontId="1"/>
  </si>
  <si>
    <t>Hyogo</t>
    <phoneticPr fontId="1"/>
  </si>
  <si>
    <t>SSC-1</t>
  </si>
  <si>
    <t>SSC-2</t>
  </si>
  <si>
    <t>SSC-3</t>
  </si>
  <si>
    <t>SSC-4</t>
  </si>
  <si>
    <t>SSC-5</t>
  </si>
  <si>
    <t>SSC-6</t>
  </si>
  <si>
    <t>SSC-7</t>
  </si>
  <si>
    <t>SSC-8</t>
  </si>
  <si>
    <t>SSC-9</t>
  </si>
  <si>
    <t>SSC-10</t>
  </si>
  <si>
    <t>TSC-1</t>
  </si>
  <si>
    <t>TSC-2</t>
  </si>
  <si>
    <t>TSC-3</t>
  </si>
  <si>
    <t>TSC-4</t>
  </si>
  <si>
    <t>TSC-5</t>
  </si>
  <si>
    <t>TSC-6</t>
  </si>
  <si>
    <t>TSC-7</t>
  </si>
  <si>
    <t>TSC-8</t>
  </si>
  <si>
    <t>RCC-1</t>
  </si>
  <si>
    <t>RCC-2</t>
  </si>
  <si>
    <t>RCC-3</t>
  </si>
  <si>
    <t>RCC-4</t>
  </si>
  <si>
    <t>RCC-5</t>
  </si>
  <si>
    <t>RCC-6</t>
  </si>
  <si>
    <t>RCC-7</t>
  </si>
  <si>
    <t>RCC-8</t>
  </si>
  <si>
    <t>RCC-9</t>
  </si>
  <si>
    <t>RCC-10</t>
  </si>
  <si>
    <t>RCC-11</t>
  </si>
  <si>
    <t>RCC-12</t>
  </si>
  <si>
    <t>RCC-13</t>
  </si>
  <si>
    <t>RCC-14</t>
    <phoneticPr fontId="1"/>
  </si>
  <si>
    <t>RCC-15</t>
    <phoneticPr fontId="1"/>
  </si>
  <si>
    <t>RCC-16</t>
    <phoneticPr fontId="1"/>
  </si>
  <si>
    <t>RCC-17</t>
    <phoneticPr fontId="1"/>
  </si>
  <si>
    <t>RCC-18</t>
    <phoneticPr fontId="1"/>
  </si>
  <si>
    <t>RCC-19</t>
    <phoneticPr fontId="1"/>
  </si>
  <si>
    <t>RCC-20</t>
    <phoneticPr fontId="1"/>
  </si>
  <si>
    <t>RCC-21</t>
    <phoneticPr fontId="1"/>
  </si>
  <si>
    <t>RCC-22</t>
    <phoneticPr fontId="1"/>
  </si>
  <si>
    <t>RCC-23</t>
  </si>
  <si>
    <t>RCC-24</t>
    <phoneticPr fontId="1"/>
  </si>
  <si>
    <t>Yamaguchi</t>
    <phoneticPr fontId="1"/>
  </si>
  <si>
    <t>Miyagi</t>
    <phoneticPr fontId="1"/>
  </si>
  <si>
    <t>Toyama</t>
    <phoneticPr fontId="1"/>
  </si>
  <si>
    <t>Saitama</t>
    <phoneticPr fontId="1"/>
  </si>
  <si>
    <t>Ishikawa</t>
    <phoneticPr fontId="1"/>
  </si>
  <si>
    <t>Gunma</t>
    <phoneticPr fontId="1"/>
  </si>
  <si>
    <t>Niigata</t>
    <phoneticPr fontId="1"/>
  </si>
  <si>
    <t>structure frame only</t>
    <phoneticPr fontId="1"/>
  </si>
  <si>
    <t>steel tubes</t>
  </si>
  <si>
    <t>CFT</t>
  </si>
  <si>
    <t>A</t>
  </si>
  <si>
    <t>RA</t>
    <phoneticPr fontId="1"/>
  </si>
  <si>
    <t>RA(TF)</t>
    <phoneticPr fontId="1"/>
  </si>
  <si>
    <t>ment</t>
    <phoneticPr fontId="1"/>
  </si>
  <si>
    <t>—</t>
    <phoneticPr fontId="1"/>
  </si>
  <si>
    <t>Location
(Prefecture)</t>
    <phoneticPr fontId="1"/>
  </si>
  <si>
    <t>Actual</t>
  </si>
  <si>
    <t xml:space="preserve">Actual </t>
  </si>
  <si>
    <t>Above-</t>
    <phoneticPr fontId="13"/>
  </si>
  <si>
    <t>Base-</t>
    <phoneticPr fontId="1"/>
  </si>
  <si>
    <t>Pent-</t>
    <phoneticPr fontId="13"/>
  </si>
  <si>
    <t>Type</t>
    <phoneticPr fontId="1"/>
  </si>
  <si>
    <t>Depth(m)</t>
    <phoneticPr fontId="1"/>
  </si>
  <si>
    <t>(m)</t>
  </si>
  <si>
    <t>Rooting</t>
    <phoneticPr fontId="13"/>
  </si>
  <si>
    <t>No.</t>
    <phoneticPr fontId="1"/>
  </si>
  <si>
    <t>Damping</t>
    <phoneticPr fontId="7" type="noConversion"/>
  </si>
  <si>
    <t>Amplitude  *: RMS, the Others: Max</t>
    <phoneticPr fontId="13"/>
  </si>
  <si>
    <t>Octagon</t>
    <phoneticPr fontId="1"/>
  </si>
  <si>
    <t>Trapezium</t>
    <phoneticPr fontId="1"/>
  </si>
  <si>
    <t>Triangle</t>
    <phoneticPr fontId="1"/>
  </si>
  <si>
    <t>Oval</t>
    <phoneticPr fontId="1"/>
  </si>
  <si>
    <t>Spread</t>
  </si>
  <si>
    <t>Pile</t>
  </si>
  <si>
    <t>Transmission Tower</t>
  </si>
  <si>
    <t>(Transmission Tower)</t>
  </si>
  <si>
    <t>Aerial Tower</t>
  </si>
  <si>
    <t>Experimental use</t>
  </si>
  <si>
    <t>Communication Tower</t>
    <phoneticPr fontId="1"/>
  </si>
  <si>
    <t>(Experimental Use)</t>
    <phoneticPr fontId="1"/>
  </si>
  <si>
    <t>Experimental Use</t>
  </si>
  <si>
    <t>Experimental Use</t>
    <phoneticPr fontId="1"/>
  </si>
  <si>
    <t>Radio Tower</t>
  </si>
  <si>
    <t>Observation Tower</t>
  </si>
  <si>
    <t>Control Tower</t>
  </si>
  <si>
    <t>Pentagon</t>
    <phoneticPr fontId="1"/>
  </si>
  <si>
    <t>Octagon</t>
    <phoneticPr fontId="1"/>
  </si>
  <si>
    <t>Triangle</t>
    <phoneticPr fontId="1"/>
  </si>
  <si>
    <t>Acceleration</t>
  </si>
  <si>
    <t>Velocity</t>
  </si>
  <si>
    <t>Displacement</t>
  </si>
  <si>
    <t>Acceleration and Displacement</t>
  </si>
  <si>
    <t>E: Earthquake Observation</t>
  </si>
  <si>
    <t>F: Forced Excitation</t>
  </si>
  <si>
    <t/>
  </si>
  <si>
    <t>C: Curve Fitting Method</t>
  </si>
  <si>
    <t>H: Half Power Method</t>
  </si>
  <si>
    <t>R: Rope Pulling Excitation</t>
  </si>
  <si>
    <t>S: Shaking Table Excitation</t>
  </si>
  <si>
    <t>M: Modal Decomposition Method</t>
  </si>
  <si>
    <t>W: Wind Response Observation</t>
  </si>
  <si>
    <t>S: System Identification</t>
  </si>
  <si>
    <t>A: Autocorrelation Function</t>
  </si>
  <si>
    <t>ARM: ARMA Model</t>
  </si>
  <si>
    <t>LD: Logarithmic Decrement</t>
  </si>
  <si>
    <t>RE: Response Model</t>
  </si>
  <si>
    <t>RA: Regression Analysis</t>
  </si>
  <si>
    <t>WA: Wind Response Analysis</t>
  </si>
  <si>
    <t>MI: Microtremor Measurement</t>
  </si>
  <si>
    <t>AR: AR Model</t>
    <phoneticPr fontId="1"/>
  </si>
  <si>
    <t>MP: Man-Power Excitation</t>
    <phoneticPr fontId="1"/>
  </si>
  <si>
    <t>F: FDD Method</t>
    <phoneticPr fontId="1"/>
  </si>
  <si>
    <t>RD: RD Method</t>
    <phoneticPr fontId="1"/>
  </si>
  <si>
    <t>*</t>
  </si>
  <si>
    <t>Building</t>
  </si>
  <si>
    <t>Longitudinal direction (m) *
Transverse direction (m)</t>
    <phoneticPr fontId="1"/>
  </si>
  <si>
    <t>Structure footprint</t>
    <phoneticPr fontId="1"/>
  </si>
  <si>
    <t>Occupancy classification</t>
    <phoneticPr fontId="1"/>
  </si>
  <si>
    <t>Foundation</t>
    <phoneticPr fontId="1"/>
  </si>
  <si>
    <t>Design values (1st mode)</t>
    <phoneticPr fontId="1"/>
  </si>
  <si>
    <t>Transverse
direction</t>
    <phoneticPr fontId="1"/>
  </si>
  <si>
    <t>Longitudinal
direction</t>
    <phoneticPr fontId="1"/>
  </si>
  <si>
    <t>Actual</t>
    <phoneticPr fontId="1"/>
  </si>
  <si>
    <t>Translational mode in
transverse direction</t>
    <phoneticPr fontId="1"/>
  </si>
  <si>
    <t>Translational mode in
longitudinal direction</t>
    <phoneticPr fontId="1"/>
  </si>
  <si>
    <t>Torsional mode</t>
    <phoneticPr fontId="1"/>
  </si>
  <si>
    <t>1st
mode</t>
    <phoneticPr fontId="1"/>
  </si>
  <si>
    <t>2nd
mode</t>
    <phoneticPr fontId="1"/>
  </si>
  <si>
    <t>3rd
mode</t>
    <phoneticPr fontId="1"/>
  </si>
  <si>
    <t>Translational mode in
transverse direction</t>
    <phoneticPr fontId="13"/>
  </si>
  <si>
    <t>Translational mode in
longitudinal direction</t>
    <phoneticPr fontId="13"/>
  </si>
  <si>
    <t>Torsional mode</t>
    <phoneticPr fontId="13"/>
  </si>
  <si>
    <t>Torsional modes</t>
    <phoneticPr fontId="1"/>
  </si>
  <si>
    <t>Translational modes in
longitudinal direction</t>
    <phoneticPr fontId="1"/>
  </si>
  <si>
    <t>Translational modes in
transverse direction</t>
    <phoneticPr fontId="1"/>
  </si>
  <si>
    <t>Damping ratio (%)</t>
    <phoneticPr fontId="1"/>
  </si>
  <si>
    <t>evaluation</t>
    <phoneticPr fontId="7" type="noConversion"/>
  </si>
  <si>
    <t>Waveform type</t>
    <phoneticPr fontId="13"/>
  </si>
  <si>
    <r>
      <t>(Acceleration: cm/s</t>
    </r>
    <r>
      <rPr>
        <vertAlign val="superscript"/>
        <sz val="10"/>
        <rFont val="Times New Roman"/>
        <family val="1"/>
      </rPr>
      <t>2</t>
    </r>
    <r>
      <rPr>
        <sz val="10"/>
        <rFont val="Times New Roman"/>
        <family val="1"/>
      </rPr>
      <t>, Velocity: *10</t>
    </r>
    <r>
      <rPr>
        <vertAlign val="superscript"/>
        <sz val="10"/>
        <rFont val="Times New Roman"/>
        <family val="1"/>
      </rPr>
      <t>-3</t>
    </r>
    <r>
      <rPr>
        <sz val="10"/>
        <rFont val="Times New Roman"/>
        <family val="1"/>
      </rPr>
      <t>cm/s, Displacement: *10</t>
    </r>
    <r>
      <rPr>
        <vertAlign val="superscript"/>
        <sz val="10"/>
        <rFont val="Times New Roman"/>
        <family val="1"/>
      </rPr>
      <t>-6</t>
    </r>
    <r>
      <rPr>
        <sz val="10"/>
        <rFont val="Times New Roman"/>
        <family val="1"/>
      </rPr>
      <t>cm)</t>
    </r>
    <phoneticPr fontId="1"/>
  </si>
  <si>
    <t>Natural period (s)</t>
    <phoneticPr fontId="1"/>
  </si>
  <si>
    <t>measurement</t>
    <phoneticPr fontId="1"/>
  </si>
  <si>
    <t xml:space="preserve">measurement </t>
    <phoneticPr fontId="1"/>
  </si>
  <si>
    <t>year or time</t>
    <phoneticPr fontId="1"/>
  </si>
  <si>
    <t>Structure
No.</t>
    <phoneticPr fontId="1"/>
  </si>
  <si>
    <t>Year of 
completion</t>
    <phoneticPr fontId="1"/>
  </si>
  <si>
    <t>Number of floors</t>
    <phoneticPr fontId="13"/>
  </si>
  <si>
    <t>height</t>
    <phoneticPr fontId="1"/>
  </si>
  <si>
    <t>Damping
ratio(%)</t>
    <phoneticPr fontId="1"/>
  </si>
  <si>
    <t>ground</t>
    <phoneticPr fontId="1"/>
  </si>
  <si>
    <t>house</t>
    <phoneticPr fontId="13"/>
  </si>
  <si>
    <t>Pile tip</t>
    <phoneticPr fontId="1"/>
  </si>
  <si>
    <t xml:space="preserve"> method
[see (1)]</t>
    <phoneticPr fontId="1"/>
  </si>
  <si>
    <t>(1)</t>
    <phoneticPr fontId="1"/>
  </si>
  <si>
    <t>(2)</t>
    <phoneticPr fontId="1"/>
  </si>
  <si>
    <t>method
[see (2)]</t>
    <phoneticPr fontId="7" type="noConversion"/>
  </si>
  <si>
    <r>
      <t>(Acceleration: cm/s</t>
    </r>
    <r>
      <rPr>
        <vertAlign val="superscript"/>
        <sz val="9"/>
        <rFont val="Times New Roman"/>
        <family val="1"/>
      </rPr>
      <t>2</t>
    </r>
    <r>
      <rPr>
        <sz val="9"/>
        <rFont val="Times New Roman"/>
        <family val="1"/>
      </rPr>
      <t>, Velocity: *10</t>
    </r>
    <r>
      <rPr>
        <vertAlign val="superscript"/>
        <sz val="9"/>
        <rFont val="Times New Roman"/>
        <family val="1"/>
      </rPr>
      <t>-3</t>
    </r>
    <r>
      <rPr>
        <sz val="9"/>
        <rFont val="Times New Roman"/>
        <family val="1"/>
      </rPr>
      <t>cm/s, Displacement: *10</t>
    </r>
    <r>
      <rPr>
        <vertAlign val="superscript"/>
        <sz val="9"/>
        <rFont val="Times New Roman"/>
        <family val="1"/>
      </rPr>
      <t>-6</t>
    </r>
    <r>
      <rPr>
        <sz val="9"/>
        <rFont val="Times New Roman"/>
        <family val="1"/>
      </rPr>
      <t>cm)</t>
    </r>
    <phoneticPr fontId="1"/>
  </si>
  <si>
    <t>(1) TSC : Truss Tower Supported Steel Chimney</t>
    <phoneticPr fontId="1"/>
  </si>
  <si>
    <t xml:space="preserve">      SSC : Self-Supported Steel Chimney</t>
    <phoneticPr fontId="1"/>
  </si>
  <si>
    <t xml:space="preserve">     RCC : RC Chimney</t>
    <phoneticPr fontId="1"/>
  </si>
  <si>
    <t>(3)</t>
    <phoneticPr fontId="1"/>
  </si>
  <si>
    <t xml:space="preserve"> method
[see (2)]</t>
    <phoneticPr fontId="1"/>
  </si>
  <si>
    <t>method
[see (3)]</t>
    <phoneticPr fontId="7" type="noConversion"/>
  </si>
  <si>
    <t>Structure
No.
[see (1)]</t>
    <phoneticPr fontId="1"/>
  </si>
  <si>
    <t xml:space="preserve">(1)  GST : Ground Installation Type Steel Tower </t>
    <phoneticPr fontId="1"/>
  </si>
  <si>
    <t xml:space="preserve">      RST : Roof Installation Type Steel Tower</t>
    <phoneticPr fontId="1"/>
  </si>
  <si>
    <t>FV: Using Free Vibration Waveform</t>
    <phoneticPr fontId="1"/>
  </si>
  <si>
    <t>PS: Using Power Spectrum</t>
    <phoneticPr fontId="1"/>
  </si>
  <si>
    <t>RC: Using Resonance Curve</t>
    <phoneticPr fontId="1"/>
  </si>
  <si>
    <t>TF: Using Transfer Function</t>
    <phoneticPr fontId="1"/>
  </si>
  <si>
    <t>I: Using Impact Vibration</t>
    <phoneticPr fontId="1"/>
  </si>
  <si>
    <t>P: Using Pendulum</t>
    <phoneticPr fontId="1"/>
  </si>
  <si>
    <t>TC: Using Tower Crane</t>
    <phoneticPr fontId="1"/>
  </si>
  <si>
    <t>VC: Using Vibration Control Device</t>
    <phoneticPr fontId="1"/>
  </si>
  <si>
    <t>MI:Using Microtremor Waveform</t>
    <phoneticPr fontId="1"/>
  </si>
  <si>
    <t>(1st): Used for 1st Mode</t>
    <phoneticPr fontId="1"/>
  </si>
  <si>
    <t>(2nd): Used for 2nd Mode</t>
    <phoneticPr fontId="1"/>
  </si>
  <si>
    <t>LD(1st), RC(2nd)</t>
    <phoneticPr fontId="1"/>
  </si>
  <si>
    <t>RC</t>
    <phoneticPr fontId="1"/>
  </si>
  <si>
    <t>MP(1st), F(2nd)</t>
    <phoneticPr fontId="1"/>
  </si>
  <si>
    <t>R(1st), F(2nd)</t>
    <phoneticPr fontId="1"/>
  </si>
  <si>
    <t>RC</t>
    <phoneticPr fontId="1"/>
  </si>
  <si>
    <t>Small amplitude vibration</t>
    <phoneticPr fontId="1"/>
  </si>
  <si>
    <t>Large amplitude vibration</t>
    <phoneticPr fontId="1"/>
  </si>
  <si>
    <t>1st to 4th floor :  Without exterior material, 5th and 6th floor : With exterior material</t>
    <phoneticPr fontId="1"/>
  </si>
  <si>
    <t>1st to 5th floor :  Without exterior material, 6th floor :With exterior material</t>
    <phoneticPr fontId="1"/>
  </si>
  <si>
    <t>Without SSD</t>
    <phoneticPr fontId="1"/>
  </si>
  <si>
    <t>With SSD</t>
    <phoneticPr fontId="1"/>
  </si>
  <si>
    <t>Without TMD</t>
    <phoneticPr fontId="1"/>
  </si>
  <si>
    <t>With TMD</t>
    <phoneticPr fontId="1"/>
  </si>
  <si>
    <t>Square steel tubes</t>
    <phoneticPr fontId="1"/>
  </si>
  <si>
    <t>Steel tubes</t>
    <phoneticPr fontId="1"/>
  </si>
  <si>
    <t>Equal angles</t>
    <phoneticPr fontId="1"/>
  </si>
  <si>
    <t>Before retrofitted</t>
    <phoneticPr fontId="1"/>
  </si>
  <si>
    <t>After retrofitted</t>
    <phoneticPr fontId="1"/>
  </si>
  <si>
    <t>Small amplitude vibration</t>
    <phoneticPr fontId="1"/>
  </si>
  <si>
    <t>Large amplitude vibration</t>
    <phoneticPr fontId="1"/>
  </si>
  <si>
    <t>Without transmission lines</t>
  </si>
  <si>
    <t>With transmission lines</t>
  </si>
  <si>
    <t>RC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</si>
</sst>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
    <numFmt numFmtId="177" formatCode="0.0_ "/>
    <numFmt numFmtId="178" formatCode="0.0;[Red]0.0"/>
    <numFmt numFmtId="179" formatCode="0;[Red]0"/>
    <numFmt numFmtId="180" formatCode="0.00;[Red]0.00"/>
    <numFmt numFmtId="181" formatCode="0.00_ "/>
    <numFmt numFmtId="182" formatCode="0_);[Red]\(0\)"/>
  </numFmts>
  <fonts count="20">
    <font>
      <sz val="12"/>
      <name val="Osaka"/>
      <family val="3"/>
      <charset val="128"/>
    </font>
    <font>
      <sz val="6"/>
      <name val="Osaka"/>
      <family val="3"/>
      <charset val="128"/>
    </font>
    <font>
      <sz val="11"/>
      <name val="ＭＳ Ｐゴシック"/>
      <family val="3"/>
      <charset val="128"/>
    </font>
    <font>
      <sz val="9"/>
      <name val="ＭＳ Ｐ明朝"/>
      <family val="1"/>
      <charset val="128"/>
    </font>
    <font>
      <sz val="12"/>
      <name val="Osaka"/>
      <family val="3"/>
      <charset val="128"/>
    </font>
    <font>
      <b/>
      <sz val="11"/>
      <color rgb="FFFF0000"/>
      <name val="Osaka"/>
      <family val="3"/>
      <charset val="128"/>
    </font>
    <font>
      <b/>
      <sz val="11"/>
      <color rgb="FFFF0000"/>
      <name val="Times New Roman"/>
      <family val="1"/>
    </font>
    <font>
      <sz val="8"/>
      <name val="ＭＳ Ｐゴシック"/>
      <family val="2"/>
      <charset val="129"/>
      <scheme val="minor"/>
    </font>
    <font>
      <sz val="10"/>
      <name val="Times New Roman"/>
      <family val="1"/>
    </font>
    <font>
      <sz val="9"/>
      <name val="Times New Roman"/>
      <family val="1"/>
    </font>
    <font>
      <sz val="9"/>
      <color indexed="8"/>
      <name val="Times New Roman"/>
      <family val="1"/>
    </font>
    <font>
      <sz val="7"/>
      <name val="Times New Roman"/>
      <family val="1"/>
    </font>
    <font>
      <sz val="8"/>
      <name val="Times New Roman"/>
      <family val="1"/>
    </font>
    <font>
      <sz val="6"/>
      <name val="ＭＳ Ｐゴシック"/>
      <family val="3"/>
      <charset val="128"/>
    </font>
    <font>
      <sz val="9"/>
      <name val="Times New Roman"/>
      <family val="1"/>
      <charset val="128"/>
    </font>
    <font>
      <sz val="11"/>
      <name val="Times New Roman"/>
      <family val="1"/>
    </font>
    <font>
      <sz val="12"/>
      <name val="Times New Roman"/>
      <family val="1"/>
    </font>
    <font>
      <b/>
      <sz val="9"/>
      <name val="Times New Roman"/>
      <family val="1"/>
    </font>
    <font>
      <vertAlign val="superscript"/>
      <sz val="10"/>
      <name val="Times New Roman"/>
      <family val="1"/>
    </font>
    <font>
      <vertAlign val="superscript"/>
      <sz val="9"/>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09">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right style="hair">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hair">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style="hair">
        <color indexed="64"/>
      </left>
      <right style="medium">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rgb="FF000000"/>
      </right>
      <top style="medium">
        <color indexed="64"/>
      </top>
      <bottom/>
      <diagonal/>
    </border>
    <border>
      <left style="hair">
        <color rgb="FF000000"/>
      </left>
      <right style="hair">
        <color rgb="FF000000"/>
      </right>
      <top style="medium">
        <color indexed="64"/>
      </top>
      <bottom/>
      <diagonal/>
    </border>
    <border>
      <left style="hair">
        <color rgb="FF000000"/>
      </left>
      <right style="medium">
        <color indexed="64"/>
      </right>
      <top style="medium">
        <color indexed="64"/>
      </top>
      <bottom/>
      <diagonal/>
    </border>
    <border>
      <left style="thin">
        <color indexed="64"/>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style="hair">
        <color rgb="FF000000"/>
      </bottom>
      <diagonal/>
    </border>
    <border>
      <left/>
      <right/>
      <top style="medium">
        <color indexed="64"/>
      </top>
      <bottom style="hair">
        <color rgb="FF000000"/>
      </bottom>
      <diagonal/>
    </border>
    <border>
      <left/>
      <right style="thin">
        <color indexed="64"/>
      </right>
      <top style="medium">
        <color indexed="64"/>
      </top>
      <bottom style="hair">
        <color rgb="FF000000"/>
      </bottom>
      <diagonal/>
    </border>
    <border>
      <left style="thin">
        <color indexed="64"/>
      </left>
      <right style="hair">
        <color rgb="FF000000"/>
      </right>
      <top style="medium">
        <color indexed="64"/>
      </top>
      <bottom style="thin">
        <color indexed="64"/>
      </bottom>
      <diagonal/>
    </border>
    <border>
      <left style="hair">
        <color rgb="FF000000"/>
      </left>
      <right style="hair">
        <color rgb="FF000000"/>
      </right>
      <top style="medium">
        <color indexed="64"/>
      </top>
      <bottom style="thin">
        <color indexed="64"/>
      </bottom>
      <diagonal/>
    </border>
    <border>
      <left style="hair">
        <color rgb="FF000000"/>
      </left>
      <right style="thin">
        <color indexed="64"/>
      </right>
      <top style="medium">
        <color indexed="64"/>
      </top>
      <bottom style="thin">
        <color indexed="64"/>
      </bottom>
      <diagonal/>
    </border>
    <border>
      <left style="thin">
        <color indexed="64"/>
      </left>
      <right style="hair">
        <color indexed="64"/>
      </right>
      <top style="hair">
        <color rgb="FF000000"/>
      </top>
      <bottom/>
      <diagonal/>
    </border>
    <border>
      <left style="hair">
        <color indexed="64"/>
      </left>
      <right style="thin">
        <color indexed="64"/>
      </right>
      <top style="hair">
        <color rgb="FF000000"/>
      </top>
      <bottom/>
      <diagonal/>
    </border>
    <border>
      <left/>
      <right style="hair">
        <color rgb="FF000000"/>
      </right>
      <top style="hair">
        <color rgb="FF000000"/>
      </top>
      <bottom style="medium">
        <color indexed="64"/>
      </bottom>
      <diagonal/>
    </border>
    <border>
      <left style="hair">
        <color rgb="FF000000"/>
      </left>
      <right/>
      <top style="hair">
        <color rgb="FF000000"/>
      </top>
      <bottom style="medium">
        <color indexed="64"/>
      </bottom>
      <diagonal/>
    </border>
    <border>
      <left style="hair">
        <color indexed="64"/>
      </left>
      <right/>
      <top style="thin">
        <color indexed="64"/>
      </top>
      <bottom style="hair">
        <color indexed="64"/>
      </bottom>
      <diagonal/>
    </border>
  </borders>
  <cellStyleXfs count="3">
    <xf numFmtId="0" fontId="0" fillId="0" borderId="0"/>
    <xf numFmtId="0" fontId="2" fillId="0" borderId="0"/>
    <xf numFmtId="0" fontId="4" fillId="0" borderId="0"/>
  </cellStyleXfs>
  <cellXfs count="594">
    <xf numFmtId="0" fontId="0" fillId="0" borderId="0" xfId="0"/>
    <xf numFmtId="0" fontId="4" fillId="0" borderId="0" xfId="2"/>
    <xf numFmtId="0" fontId="6" fillId="3" borderId="165" xfId="2" applyFont="1" applyFill="1" applyBorder="1" applyAlignment="1">
      <alignment vertical="center" wrapText="1"/>
    </xf>
    <xf numFmtId="0" fontId="8" fillId="0" borderId="6" xfId="0" applyFont="1" applyBorder="1" applyAlignment="1">
      <alignment horizontal="center" vertical="center" shrinkToFit="1"/>
    </xf>
    <xf numFmtId="0" fontId="8" fillId="0" borderId="13" xfId="0" applyFont="1" applyBorder="1" applyAlignment="1">
      <alignment horizontal="center" vertical="center" shrinkToFit="1"/>
    </xf>
    <xf numFmtId="1" fontId="9" fillId="0" borderId="3" xfId="0" applyNumberFormat="1" applyFont="1" applyBorder="1" applyAlignment="1">
      <alignment horizontal="center" vertical="center"/>
    </xf>
    <xf numFmtId="0" fontId="9" fillId="0" borderId="36" xfId="1" applyFont="1" applyBorder="1" applyAlignment="1">
      <alignment horizontal="center" vertical="center"/>
    </xf>
    <xf numFmtId="0" fontId="10" fillId="0" borderId="0" xfId="0" applyFont="1" applyAlignment="1">
      <alignment horizontal="center" vertical="center"/>
    </xf>
    <xf numFmtId="1" fontId="9" fillId="0" borderId="11" xfId="0" applyNumberFormat="1" applyFont="1" applyBorder="1" applyAlignment="1">
      <alignment horizontal="center" vertical="center"/>
    </xf>
    <xf numFmtId="0" fontId="9" fillId="0" borderId="38" xfId="1" applyFont="1" applyBorder="1" applyAlignment="1">
      <alignment horizontal="center" vertical="center"/>
    </xf>
    <xf numFmtId="0" fontId="9" fillId="0" borderId="24" xfId="1" applyFont="1" applyBorder="1" applyAlignment="1">
      <alignment horizontal="center" vertical="center"/>
    </xf>
    <xf numFmtId="0" fontId="9" fillId="0" borderId="43"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179" fontId="9" fillId="0" borderId="13" xfId="1" applyNumberFormat="1" applyFont="1" applyBorder="1" applyAlignment="1">
      <alignment horizontal="center" vertical="center"/>
    </xf>
    <xf numFmtId="179" fontId="9" fillId="0" borderId="119" xfId="1" applyNumberFormat="1" applyFont="1" applyBorder="1" applyAlignment="1">
      <alignment horizontal="center" vertical="center"/>
    </xf>
    <xf numFmtId="0" fontId="9" fillId="0" borderId="0" xfId="1" applyFont="1" applyAlignment="1">
      <alignment horizontal="center" vertical="center"/>
    </xf>
    <xf numFmtId="178" fontId="9" fillId="0" borderId="89" xfId="1" applyNumberFormat="1" applyFont="1" applyBorder="1" applyAlignment="1">
      <alignment horizontal="center" vertical="center"/>
    </xf>
    <xf numFmtId="0" fontId="9" fillId="0" borderId="13" xfId="1" applyFont="1" applyBorder="1" applyAlignment="1">
      <alignment horizontal="center" vertical="center"/>
    </xf>
    <xf numFmtId="49" fontId="9" fillId="0" borderId="13" xfId="1" applyNumberFormat="1" applyFont="1" applyBorder="1" applyAlignment="1">
      <alignment horizontal="center" vertical="center"/>
    </xf>
    <xf numFmtId="178" fontId="9" fillId="0" borderId="88" xfId="1" applyNumberFormat="1" applyFont="1" applyBorder="1" applyAlignment="1">
      <alignment vertical="center"/>
    </xf>
    <xf numFmtId="180" fontId="9" fillId="0" borderId="120" xfId="1" applyNumberFormat="1" applyFont="1" applyBorder="1" applyAlignment="1">
      <alignment horizontal="center" vertical="center"/>
    </xf>
    <xf numFmtId="180" fontId="9" fillId="0" borderId="121" xfId="1" applyNumberFormat="1" applyFont="1" applyBorder="1" applyAlignment="1">
      <alignment horizontal="center" vertical="center"/>
    </xf>
    <xf numFmtId="179" fontId="9" fillId="0" borderId="18" xfId="1" applyNumberFormat="1" applyFont="1" applyBorder="1" applyAlignment="1">
      <alignment horizontal="center" vertical="center"/>
    </xf>
    <xf numFmtId="0" fontId="9" fillId="0" borderId="122" xfId="1" applyFont="1" applyBorder="1" applyAlignment="1">
      <alignment horizontal="center" vertical="center"/>
    </xf>
    <xf numFmtId="0" fontId="9" fillId="0" borderId="6" xfId="1" applyFont="1" applyBorder="1" applyAlignment="1">
      <alignment horizontal="center" vertical="center"/>
    </xf>
    <xf numFmtId="49" fontId="9" fillId="0" borderId="3" xfId="1" applyNumberFormat="1" applyFont="1" applyBorder="1" applyAlignment="1">
      <alignment horizontal="center" vertical="center"/>
    </xf>
    <xf numFmtId="180" fontId="9" fillId="0" borderId="88" xfId="1" applyNumberFormat="1" applyFont="1" applyBorder="1" applyAlignment="1">
      <alignment horizontal="center" vertical="center"/>
    </xf>
    <xf numFmtId="180" fontId="9" fillId="0" borderId="123" xfId="1" applyNumberFormat="1" applyFont="1" applyBorder="1" applyAlignment="1">
      <alignment horizontal="center" vertical="center"/>
    </xf>
    <xf numFmtId="180" fontId="9" fillId="0" borderId="124" xfId="1" applyNumberFormat="1" applyFont="1" applyBorder="1" applyAlignment="1">
      <alignment horizontal="center" vertical="center"/>
    </xf>
    <xf numFmtId="180" fontId="9" fillId="0" borderId="89" xfId="1" applyNumberFormat="1" applyFont="1" applyBorder="1" applyAlignment="1">
      <alignment horizontal="center" vertical="center"/>
    </xf>
    <xf numFmtId="180" fontId="9" fillId="0" borderId="90" xfId="1" applyNumberFormat="1" applyFont="1" applyBorder="1" applyAlignment="1">
      <alignment horizontal="center" vertical="center"/>
    </xf>
    <xf numFmtId="177" fontId="9" fillId="0" borderId="125" xfId="1" applyNumberFormat="1" applyFont="1" applyBorder="1" applyAlignment="1">
      <alignment horizontal="center" vertical="center"/>
    </xf>
    <xf numFmtId="177" fontId="9" fillId="0" borderId="126" xfId="1" applyNumberFormat="1" applyFont="1" applyBorder="1" applyAlignment="1">
      <alignment horizontal="center" vertical="center"/>
    </xf>
    <xf numFmtId="177" fontId="9" fillId="0" borderId="4" xfId="1" applyNumberFormat="1" applyFont="1" applyBorder="1" applyAlignment="1">
      <alignment horizontal="center" vertical="center"/>
    </xf>
    <xf numFmtId="0" fontId="9" fillId="0" borderId="125" xfId="1" applyFont="1" applyBorder="1" applyAlignment="1">
      <alignment horizontal="center" vertical="center"/>
    </xf>
    <xf numFmtId="0" fontId="9" fillId="0" borderId="4" xfId="1" applyFont="1" applyBorder="1" applyAlignment="1">
      <alignment horizontal="center" vertical="center"/>
    </xf>
    <xf numFmtId="0" fontId="9" fillId="0" borderId="128" xfId="1" applyFont="1" applyBorder="1" applyAlignment="1">
      <alignment horizontal="center" vertical="center"/>
    </xf>
    <xf numFmtId="0" fontId="9" fillId="0" borderId="129" xfId="1" applyFont="1" applyBorder="1" applyAlignment="1">
      <alignment horizontal="center" vertical="center"/>
    </xf>
    <xf numFmtId="0" fontId="9" fillId="0" borderId="98" xfId="1" applyFont="1" applyBorder="1" applyAlignment="1">
      <alignment horizontal="center" vertical="center"/>
    </xf>
    <xf numFmtId="179" fontId="9" fillId="0" borderId="130" xfId="1" applyNumberFormat="1" applyFont="1" applyBorder="1" applyAlignment="1">
      <alignment horizontal="center" vertical="center"/>
    </xf>
    <xf numFmtId="179" fontId="9" fillId="0" borderId="40" xfId="1" applyNumberFormat="1" applyFont="1" applyBorder="1" applyAlignment="1">
      <alignment horizontal="center" vertical="center"/>
    </xf>
    <xf numFmtId="179" fontId="9" fillId="0" borderId="131" xfId="1" applyNumberFormat="1" applyFont="1" applyBorder="1" applyAlignment="1">
      <alignment horizontal="center" vertical="center"/>
    </xf>
    <xf numFmtId="178" fontId="9" fillId="0" borderId="40" xfId="1" applyNumberFormat="1" applyFont="1" applyBorder="1" applyAlignment="1">
      <alignment horizontal="center" vertical="center"/>
    </xf>
    <xf numFmtId="0" fontId="9" fillId="0" borderId="40" xfId="1" applyFont="1" applyBorder="1" applyAlignment="1">
      <alignment horizontal="center" vertical="center"/>
    </xf>
    <xf numFmtId="178" fontId="9" fillId="0" borderId="28" xfId="1" applyNumberFormat="1" applyFont="1" applyBorder="1" applyAlignment="1">
      <alignment horizontal="center" vertical="center"/>
    </xf>
    <xf numFmtId="0" fontId="9" fillId="0" borderId="130" xfId="1" applyFont="1" applyBorder="1" applyAlignment="1">
      <alignment horizontal="center" vertical="center"/>
    </xf>
    <xf numFmtId="49" fontId="9" fillId="0" borderId="130" xfId="1" applyNumberFormat="1" applyFont="1" applyBorder="1" applyAlignment="1">
      <alignment horizontal="center" vertical="center"/>
    </xf>
    <xf numFmtId="178" fontId="9" fillId="0" borderId="77" xfId="1" applyNumberFormat="1" applyFont="1" applyBorder="1" applyAlignment="1">
      <alignment vertical="center"/>
    </xf>
    <xf numFmtId="178" fontId="9" fillId="0" borderId="29" xfId="1" applyNumberFormat="1" applyFont="1" applyBorder="1" applyAlignment="1">
      <alignment vertical="center"/>
    </xf>
    <xf numFmtId="180" fontId="9" fillId="0" borderId="39" xfId="1" applyNumberFormat="1" applyFont="1" applyBorder="1" applyAlignment="1">
      <alignment horizontal="center" vertical="center"/>
    </xf>
    <xf numFmtId="180" fontId="9" fillId="0" borderId="132" xfId="1" applyNumberFormat="1" applyFont="1" applyBorder="1" applyAlignment="1">
      <alignment horizontal="center" vertical="center"/>
    </xf>
    <xf numFmtId="179" fontId="9" fillId="0" borderId="133" xfId="1" applyNumberFormat="1" applyFont="1" applyBorder="1" applyAlignment="1">
      <alignment horizontal="center" vertical="center"/>
    </xf>
    <xf numFmtId="0" fontId="9" fillId="0" borderId="44" xfId="1" applyFont="1" applyBorder="1" applyAlignment="1">
      <alignment horizontal="center" vertical="center"/>
    </xf>
    <xf numFmtId="0" fontId="9" fillId="0" borderId="29" xfId="1" applyFont="1" applyBorder="1" applyAlignment="1">
      <alignment horizontal="center" vertical="center"/>
    </xf>
    <xf numFmtId="180" fontId="9" fillId="0" borderId="77" xfId="1" applyNumberFormat="1" applyFont="1" applyBorder="1" applyAlignment="1">
      <alignment horizontal="center" vertical="center"/>
    </xf>
    <xf numFmtId="180" fontId="9" fillId="0" borderId="131" xfId="1" applyNumberFormat="1" applyFont="1" applyBorder="1" applyAlignment="1">
      <alignment horizontal="center" vertical="center"/>
    </xf>
    <xf numFmtId="180" fontId="9" fillId="0" borderId="28" xfId="1" applyNumberFormat="1" applyFont="1" applyBorder="1" applyAlignment="1">
      <alignment horizontal="center" vertical="center"/>
    </xf>
    <xf numFmtId="180" fontId="9" fillId="0" borderId="91" xfId="1" applyNumberFormat="1" applyFont="1" applyBorder="1" applyAlignment="1">
      <alignment horizontal="center" vertical="center"/>
    </xf>
    <xf numFmtId="177" fontId="9" fillId="0" borderId="46" xfId="1" applyNumberFormat="1" applyFont="1" applyBorder="1" applyAlignment="1">
      <alignment horizontal="center" vertical="center"/>
    </xf>
    <xf numFmtId="177" fontId="9" fillId="0" borderId="67" xfId="1" applyNumberFormat="1" applyFont="1" applyBorder="1" applyAlignment="1">
      <alignment horizontal="center" vertical="center"/>
    </xf>
    <xf numFmtId="177" fontId="9" fillId="0" borderId="47" xfId="1" applyNumberFormat="1" applyFont="1" applyBorder="1" applyAlignment="1">
      <alignment horizontal="center" vertical="center"/>
    </xf>
    <xf numFmtId="0" fontId="9" fillId="0" borderId="46" xfId="1" applyFont="1" applyBorder="1" applyAlignment="1">
      <alignment horizontal="center" vertical="center"/>
    </xf>
    <xf numFmtId="0" fontId="9" fillId="0" borderId="47" xfId="1" applyFont="1" applyBorder="1" applyAlignment="1">
      <alignment horizontal="center" vertical="center"/>
    </xf>
    <xf numFmtId="0" fontId="9" fillId="0" borderId="93" xfId="1" applyFont="1" applyBorder="1" applyAlignment="1">
      <alignment horizontal="center" vertical="center"/>
    </xf>
    <xf numFmtId="0" fontId="9" fillId="0" borderId="118" xfId="1" applyFont="1" applyBorder="1" applyAlignment="1">
      <alignment horizontal="left" vertical="center"/>
    </xf>
    <xf numFmtId="0" fontId="9" fillId="0" borderId="86" xfId="1" applyFont="1" applyBorder="1" applyAlignment="1">
      <alignment horizontal="left" vertical="center"/>
    </xf>
    <xf numFmtId="0" fontId="9" fillId="0" borderId="48" xfId="1" applyFont="1" applyBorder="1" applyAlignment="1">
      <alignment horizontal="center" vertical="center"/>
    </xf>
    <xf numFmtId="0" fontId="9" fillId="0" borderId="55" xfId="1" applyFont="1" applyBorder="1" applyAlignment="1">
      <alignment horizontal="center" vertical="center"/>
    </xf>
    <xf numFmtId="179" fontId="9" fillId="0" borderId="49" xfId="1" applyNumberFormat="1" applyFont="1" applyBorder="1" applyAlignment="1">
      <alignment horizontal="center" vertical="center"/>
    </xf>
    <xf numFmtId="179" fontId="9" fillId="0" borderId="30" xfId="1" applyNumberFormat="1" applyFont="1" applyBorder="1" applyAlignment="1">
      <alignment horizontal="center" vertical="center"/>
    </xf>
    <xf numFmtId="179" fontId="9" fillId="0" borderId="50" xfId="1" applyNumberFormat="1" applyFont="1" applyBorder="1" applyAlignment="1">
      <alignment horizontal="center" vertical="center"/>
    </xf>
    <xf numFmtId="178" fontId="9" fillId="0" borderId="30" xfId="1" applyNumberFormat="1" applyFont="1" applyBorder="1" applyAlignment="1">
      <alignment horizontal="center" vertical="center"/>
    </xf>
    <xf numFmtId="0" fontId="9" fillId="0" borderId="30" xfId="1" applyFont="1" applyBorder="1" applyAlignment="1">
      <alignment horizontal="center" vertical="center"/>
    </xf>
    <xf numFmtId="178" fontId="9" fillId="0" borderId="31" xfId="1" applyNumberFormat="1" applyFont="1" applyBorder="1" applyAlignment="1">
      <alignment horizontal="center" vertical="center"/>
    </xf>
    <xf numFmtId="0" fontId="9" fillId="0" borderId="49" xfId="1" applyFont="1" applyBorder="1" applyAlignment="1">
      <alignment horizontal="center" vertical="center"/>
    </xf>
    <xf numFmtId="49" fontId="9" fillId="0" borderId="49" xfId="1" applyNumberFormat="1" applyFont="1" applyBorder="1" applyAlignment="1">
      <alignment horizontal="center" vertical="center"/>
    </xf>
    <xf numFmtId="178" fontId="9" fillId="0" borderId="51" xfId="1" applyNumberFormat="1" applyFont="1" applyBorder="1" applyAlignment="1">
      <alignment vertical="center"/>
    </xf>
    <xf numFmtId="178" fontId="9" fillId="0" borderId="32" xfId="1" applyNumberFormat="1" applyFont="1" applyBorder="1" applyAlignment="1">
      <alignment vertical="center"/>
    </xf>
    <xf numFmtId="180" fontId="9" fillId="0" borderId="52" xfId="1" applyNumberFormat="1" applyFont="1" applyBorder="1" applyAlignment="1">
      <alignment horizontal="center" vertical="center"/>
    </xf>
    <xf numFmtId="180" fontId="9" fillId="0" borderId="53" xfId="1" applyNumberFormat="1" applyFont="1" applyBorder="1" applyAlignment="1">
      <alignment horizontal="center" vertical="center"/>
    </xf>
    <xf numFmtId="179" fontId="9" fillId="0" borderId="54" xfId="1" applyNumberFormat="1" applyFont="1" applyBorder="1" applyAlignment="1">
      <alignment horizontal="center" vertical="center"/>
    </xf>
    <xf numFmtId="0" fontId="9" fillId="0" borderId="32" xfId="1" applyFont="1" applyBorder="1" applyAlignment="1">
      <alignment horizontal="center" vertical="center"/>
    </xf>
    <xf numFmtId="49" fontId="9" fillId="0" borderId="30" xfId="1" applyNumberFormat="1" applyFont="1" applyBorder="1" applyAlignment="1">
      <alignment horizontal="center" vertical="center"/>
    </xf>
    <xf numFmtId="180" fontId="9" fillId="0" borderId="51" xfId="1" applyNumberFormat="1" applyFont="1" applyBorder="1" applyAlignment="1">
      <alignment horizontal="center" vertical="center"/>
    </xf>
    <xf numFmtId="180" fontId="9" fillId="0" borderId="50" xfId="1" applyNumberFormat="1" applyFont="1" applyBorder="1" applyAlignment="1">
      <alignment horizontal="center" vertical="center"/>
    </xf>
    <xf numFmtId="180" fontId="9" fillId="0" borderId="31" xfId="1" applyNumberFormat="1" applyFont="1" applyBorder="1" applyAlignment="1">
      <alignment horizontal="center" vertical="center"/>
    </xf>
    <xf numFmtId="180" fontId="9" fillId="0" borderId="85" xfId="1" applyNumberFormat="1" applyFont="1" applyBorder="1" applyAlignment="1">
      <alignment horizontal="center" vertical="center"/>
    </xf>
    <xf numFmtId="177" fontId="9" fillId="0" borderId="51" xfId="1" applyNumberFormat="1" applyFont="1" applyBorder="1" applyAlignment="1">
      <alignment horizontal="center" vertical="center"/>
    </xf>
    <xf numFmtId="177" fontId="9" fillId="0" borderId="50" xfId="1" applyNumberFormat="1" applyFont="1" applyBorder="1" applyAlignment="1">
      <alignment horizontal="center" vertical="center"/>
    </xf>
    <xf numFmtId="177" fontId="9" fillId="0" borderId="30" xfId="1" applyNumberFormat="1" applyFont="1" applyBorder="1" applyAlignment="1">
      <alignment horizontal="center" vertical="center"/>
    </xf>
    <xf numFmtId="0" fontId="9" fillId="0" borderId="51" xfId="1" applyFont="1" applyBorder="1" applyAlignment="1">
      <alignment horizontal="center" vertical="center"/>
    </xf>
    <xf numFmtId="0" fontId="9" fillId="0" borderId="94" xfId="1" applyFont="1" applyBorder="1" applyAlignment="1">
      <alignment horizontal="center" vertical="center"/>
    </xf>
    <xf numFmtId="0" fontId="9" fillId="0" borderId="56" xfId="1" applyFont="1" applyBorder="1" applyAlignment="1">
      <alignment horizontal="left" vertical="center"/>
    </xf>
    <xf numFmtId="0" fontId="9" fillId="0" borderId="85" xfId="1" applyFont="1" applyBorder="1" applyAlignment="1">
      <alignment horizontal="left" vertical="center"/>
    </xf>
    <xf numFmtId="178" fontId="9" fillId="0" borderId="32" xfId="1" applyNumberFormat="1" applyFont="1" applyBorder="1" applyAlignment="1">
      <alignment horizontal="center" vertical="center"/>
    </xf>
    <xf numFmtId="178" fontId="9" fillId="0" borderId="12" xfId="1" applyNumberFormat="1" applyFont="1" applyBorder="1" applyAlignment="1">
      <alignment horizontal="center" vertical="center"/>
    </xf>
    <xf numFmtId="178" fontId="9" fillId="0" borderId="83" xfId="1" applyNumberFormat="1" applyFont="1" applyBorder="1" applyAlignment="1">
      <alignment vertical="center"/>
    </xf>
    <xf numFmtId="178" fontId="9" fillId="0" borderId="11" xfId="1" applyNumberFormat="1" applyFont="1" applyBorder="1" applyAlignment="1">
      <alignment vertical="center"/>
    </xf>
    <xf numFmtId="0" fontId="9" fillId="0" borderId="99" xfId="1" applyFont="1" applyBorder="1" applyAlignment="1">
      <alignment horizontal="center" vertical="center"/>
    </xf>
    <xf numFmtId="0" fontId="9" fillId="0" borderId="17" xfId="1" applyFont="1" applyBorder="1" applyAlignment="1">
      <alignment horizontal="center" vertical="center"/>
    </xf>
    <xf numFmtId="49" fontId="9" fillId="0" borderId="16" xfId="1" applyNumberFormat="1" applyFont="1" applyBorder="1" applyAlignment="1">
      <alignment horizontal="center" vertical="center"/>
    </xf>
    <xf numFmtId="180" fontId="9" fillId="0" borderId="78" xfId="1" applyNumberFormat="1" applyFont="1" applyBorder="1" applyAlignment="1">
      <alignment horizontal="center" vertical="center"/>
    </xf>
    <xf numFmtId="180" fontId="9" fillId="0" borderId="79" xfId="1" applyNumberFormat="1" applyFont="1" applyBorder="1" applyAlignment="1">
      <alignment horizontal="center" vertical="center"/>
    </xf>
    <xf numFmtId="180" fontId="9" fillId="0" borderId="80" xfId="1" applyNumberFormat="1" applyFont="1" applyBorder="1" applyAlignment="1">
      <alignment horizontal="center" vertical="center"/>
    </xf>
    <xf numFmtId="180" fontId="9" fillId="0" borderId="81" xfId="1" applyNumberFormat="1" applyFont="1" applyBorder="1" applyAlignment="1">
      <alignment horizontal="center" vertical="center"/>
    </xf>
    <xf numFmtId="180" fontId="9" fillId="0" borderId="84" xfId="1" applyNumberFormat="1" applyFont="1" applyBorder="1" applyAlignment="1">
      <alignment horizontal="center" vertical="center"/>
    </xf>
    <xf numFmtId="177" fontId="9" fillId="0" borderId="78" xfId="1" applyNumberFormat="1" applyFont="1" applyBorder="1" applyAlignment="1">
      <alignment horizontal="center" vertical="center"/>
    </xf>
    <xf numFmtId="177" fontId="9" fillId="0" borderId="79" xfId="1" applyNumberFormat="1" applyFont="1" applyBorder="1" applyAlignment="1">
      <alignment horizontal="center" vertical="center"/>
    </xf>
    <xf numFmtId="177" fontId="9" fillId="0" borderId="16" xfId="1" applyNumberFormat="1" applyFont="1" applyBorder="1" applyAlignment="1">
      <alignment horizontal="center" vertical="center"/>
    </xf>
    <xf numFmtId="0" fontId="9" fillId="0" borderId="78" xfId="1" applyFont="1" applyBorder="1" applyAlignment="1">
      <alignment horizontal="center" vertical="center"/>
    </xf>
    <xf numFmtId="0" fontId="9" fillId="0" borderId="16" xfId="1" applyFont="1" applyBorder="1" applyAlignment="1">
      <alignment horizontal="center" vertical="center"/>
    </xf>
    <xf numFmtId="0" fontId="9" fillId="0" borderId="95" xfId="1" applyFont="1" applyBorder="1" applyAlignment="1">
      <alignment horizontal="center" vertical="center"/>
    </xf>
    <xf numFmtId="0" fontId="9" fillId="0" borderId="103" xfId="1" applyFont="1" applyBorder="1" applyAlignment="1">
      <alignment horizontal="left" vertical="center"/>
    </xf>
    <xf numFmtId="0" fontId="9" fillId="0" borderId="87" xfId="1" applyFont="1" applyBorder="1" applyAlignment="1">
      <alignment horizontal="left" vertical="center"/>
    </xf>
    <xf numFmtId="0" fontId="9" fillId="0" borderId="57" xfId="1" applyFont="1" applyBorder="1" applyAlignment="1">
      <alignment horizontal="center" vertical="center"/>
    </xf>
    <xf numFmtId="0" fontId="9" fillId="0" borderId="58" xfId="1" applyFont="1" applyBorder="1" applyAlignment="1">
      <alignment horizontal="center" vertical="center"/>
    </xf>
    <xf numFmtId="49" fontId="9" fillId="0" borderId="59" xfId="1" applyNumberFormat="1" applyFont="1" applyBorder="1" applyAlignment="1">
      <alignment horizontal="center" vertical="center"/>
    </xf>
    <xf numFmtId="180" fontId="9" fillId="0" borderId="60" xfId="1" applyNumberFormat="1" applyFont="1" applyBorder="1" applyAlignment="1">
      <alignment horizontal="center" vertical="center"/>
    </xf>
    <xf numFmtId="180" fontId="9" fillId="0" borderId="61" xfId="1" applyNumberFormat="1" applyFont="1" applyBorder="1" applyAlignment="1">
      <alignment horizontal="center" vertical="center"/>
    </xf>
    <xf numFmtId="180" fontId="9" fillId="0" borderId="62" xfId="1" applyNumberFormat="1" applyFont="1" applyBorder="1" applyAlignment="1">
      <alignment horizontal="center" vertical="center"/>
    </xf>
    <xf numFmtId="180" fontId="9" fillId="0" borderId="63" xfId="1" applyNumberFormat="1" applyFont="1" applyBorder="1" applyAlignment="1">
      <alignment horizontal="center" vertical="center"/>
    </xf>
    <xf numFmtId="180" fontId="9" fillId="0" borderId="66" xfId="1" applyNumberFormat="1" applyFont="1" applyBorder="1" applyAlignment="1">
      <alignment horizontal="center" vertical="center"/>
    </xf>
    <xf numFmtId="0" fontId="9" fillId="0" borderId="96" xfId="1" applyFont="1" applyBorder="1" applyAlignment="1">
      <alignment horizontal="center" vertical="center"/>
    </xf>
    <xf numFmtId="177" fontId="9" fillId="0" borderId="60" xfId="1" applyNumberFormat="1" applyFont="1" applyBorder="1" applyAlignment="1">
      <alignment horizontal="center" vertical="center"/>
    </xf>
    <xf numFmtId="177" fontId="9" fillId="0" borderId="61" xfId="1" applyNumberFormat="1" applyFont="1" applyBorder="1" applyAlignment="1">
      <alignment horizontal="center" vertical="center"/>
    </xf>
    <xf numFmtId="177" fontId="9" fillId="0" borderId="59" xfId="1" applyNumberFormat="1" applyFont="1" applyBorder="1" applyAlignment="1">
      <alignment horizontal="center" vertical="center"/>
    </xf>
    <xf numFmtId="0" fontId="9" fillId="0" borderId="60" xfId="1" applyFont="1" applyBorder="1" applyAlignment="1">
      <alignment horizontal="center" vertical="center"/>
    </xf>
    <xf numFmtId="0" fontId="9" fillId="0" borderId="59" xfId="1" applyFont="1" applyBorder="1" applyAlignment="1">
      <alignment horizontal="center" vertical="center"/>
    </xf>
    <xf numFmtId="0" fontId="9" fillId="0" borderId="135" xfId="1" applyFont="1" applyBorder="1" applyAlignment="1">
      <alignment horizontal="center" vertical="center"/>
    </xf>
    <xf numFmtId="0" fontId="9" fillId="0" borderId="65" xfId="1" applyFont="1" applyBorder="1" applyAlignment="1">
      <alignment horizontal="left" vertical="center"/>
    </xf>
    <xf numFmtId="0" fontId="9" fillId="0" borderId="66" xfId="1" applyFont="1" applyBorder="1" applyAlignment="1">
      <alignment horizontal="left" vertical="center"/>
    </xf>
    <xf numFmtId="49" fontId="9" fillId="0" borderId="58" xfId="1" applyNumberFormat="1" applyFont="1" applyBorder="1" applyAlignment="1">
      <alignment horizontal="center" vertical="center"/>
    </xf>
    <xf numFmtId="180" fontId="9" fillId="0" borderId="60" xfId="0" applyNumberFormat="1" applyFont="1" applyBorder="1" applyAlignment="1">
      <alignment horizontal="center" vertical="center"/>
    </xf>
    <xf numFmtId="180" fontId="9" fillId="0" borderId="63" xfId="0" applyNumberFormat="1" applyFont="1" applyBorder="1" applyAlignment="1">
      <alignment horizontal="center" vertical="center"/>
    </xf>
    <xf numFmtId="177" fontId="9" fillId="0" borderId="60" xfId="0" applyNumberFormat="1" applyFont="1" applyBorder="1" applyAlignment="1">
      <alignment horizontal="center" vertical="center"/>
    </xf>
    <xf numFmtId="177" fontId="9" fillId="0" borderId="106" xfId="1" applyNumberFormat="1" applyFont="1" applyBorder="1" applyAlignment="1">
      <alignment horizontal="center" vertical="center"/>
    </xf>
    <xf numFmtId="0" fontId="9" fillId="0" borderId="97" xfId="1" applyFont="1" applyBorder="1" applyAlignment="1">
      <alignment horizontal="center" vertical="center"/>
    </xf>
    <xf numFmtId="180" fontId="9" fillId="0" borderId="46" xfId="0" applyNumberFormat="1" applyFont="1" applyBorder="1" applyAlignment="1">
      <alignment horizontal="center" vertical="center"/>
    </xf>
    <xf numFmtId="180" fontId="9" fillId="0" borderId="67" xfId="1" applyNumberFormat="1" applyFont="1" applyBorder="1" applyAlignment="1">
      <alignment horizontal="center" vertical="center"/>
    </xf>
    <xf numFmtId="180" fontId="9" fillId="0" borderId="68" xfId="1" applyNumberFormat="1" applyFont="1" applyBorder="1" applyAlignment="1">
      <alignment horizontal="center" vertical="center"/>
    </xf>
    <xf numFmtId="180" fontId="9" fillId="0" borderId="69" xfId="1" applyNumberFormat="1" applyFont="1" applyBorder="1" applyAlignment="1">
      <alignment horizontal="center" vertical="center"/>
    </xf>
    <xf numFmtId="180" fontId="9" fillId="0" borderId="86" xfId="1" applyNumberFormat="1" applyFont="1" applyBorder="1" applyAlignment="1">
      <alignment horizontal="center" vertical="center"/>
    </xf>
    <xf numFmtId="177" fontId="9" fillId="0" borderId="46" xfId="0" applyNumberFormat="1" applyFont="1" applyBorder="1" applyAlignment="1">
      <alignment horizontal="center" vertical="center"/>
    </xf>
    <xf numFmtId="177" fontId="9" fillId="0" borderId="131" xfId="1" applyNumberFormat="1" applyFont="1" applyBorder="1" applyAlignment="1">
      <alignment horizontal="center" vertical="center"/>
    </xf>
    <xf numFmtId="177" fontId="9" fillId="0" borderId="40" xfId="1" applyNumberFormat="1" applyFont="1" applyBorder="1" applyAlignment="1">
      <alignment horizontal="center" vertical="center"/>
    </xf>
    <xf numFmtId="177" fontId="9" fillId="0" borderId="77" xfId="1" applyNumberFormat="1" applyFont="1" applyBorder="1" applyAlignment="1">
      <alignment horizontal="center" vertical="center"/>
    </xf>
    <xf numFmtId="0" fontId="9" fillId="0" borderId="77" xfId="1" applyFont="1" applyBorder="1" applyAlignment="1">
      <alignment horizontal="center" vertical="center"/>
    </xf>
    <xf numFmtId="0" fontId="9" fillId="0" borderId="106" xfId="1" applyFont="1" applyBorder="1" applyAlignment="1">
      <alignment horizontal="center" vertical="center"/>
    </xf>
    <xf numFmtId="0" fontId="9" fillId="0" borderId="108" xfId="1" applyFont="1" applyBorder="1" applyAlignment="1">
      <alignment horizontal="center" vertical="center"/>
    </xf>
    <xf numFmtId="49" fontId="9" fillId="0" borderId="70" xfId="1" applyNumberFormat="1" applyFont="1" applyBorder="1" applyAlignment="1">
      <alignment horizontal="center" vertical="center"/>
    </xf>
    <xf numFmtId="180" fontId="9" fillId="0" borderId="46" xfId="1" applyNumberFormat="1" applyFont="1" applyBorder="1" applyAlignment="1">
      <alignment horizontal="center" vertical="center"/>
    </xf>
    <xf numFmtId="178" fontId="9" fillId="0" borderId="51" xfId="1" applyNumberFormat="1" applyFont="1" applyBorder="1" applyAlignment="1">
      <alignment horizontal="center" vertical="center"/>
    </xf>
    <xf numFmtId="0" fontId="9" fillId="0" borderId="0" xfId="0" applyFont="1"/>
    <xf numFmtId="178" fontId="9" fillId="0" borderId="83" xfId="1" applyNumberFormat="1" applyFont="1" applyBorder="1" applyAlignment="1">
      <alignment horizontal="center" vertical="center"/>
    </xf>
    <xf numFmtId="178" fontId="9" fillId="0" borderId="11" xfId="1" applyNumberFormat="1" applyFont="1" applyBorder="1" applyAlignment="1">
      <alignment horizontal="center" vertical="center"/>
    </xf>
    <xf numFmtId="49" fontId="9" fillId="0" borderId="47" xfId="1" applyNumberFormat="1" applyFont="1" applyBorder="1" applyAlignment="1">
      <alignment horizontal="center" vertical="center"/>
    </xf>
    <xf numFmtId="0" fontId="9" fillId="0" borderId="137" xfId="1" applyFont="1" applyBorder="1" applyAlignment="1">
      <alignment horizontal="center" vertical="center"/>
    </xf>
    <xf numFmtId="0" fontId="9" fillId="0" borderId="138" xfId="1" applyFont="1" applyBorder="1" applyAlignment="1">
      <alignment horizontal="center" vertical="center"/>
    </xf>
    <xf numFmtId="179" fontId="9" fillId="0" borderId="14" xfId="1" applyNumberFormat="1" applyFont="1" applyBorder="1" applyAlignment="1">
      <alignment horizontal="center" vertical="center"/>
    </xf>
    <xf numFmtId="179" fontId="9" fillId="0" borderId="139" xfId="1" applyNumberFormat="1" applyFont="1" applyBorder="1" applyAlignment="1">
      <alignment horizontal="center" vertical="center"/>
    </xf>
    <xf numFmtId="179" fontId="9" fillId="0" borderId="140" xfId="1" applyNumberFormat="1" applyFont="1" applyBorder="1" applyAlignment="1">
      <alignment horizontal="center" vertical="center"/>
    </xf>
    <xf numFmtId="178" fontId="9" fillId="0" borderId="139" xfId="1" applyNumberFormat="1" applyFont="1" applyBorder="1" applyAlignment="1">
      <alignment horizontal="center" vertical="center"/>
    </xf>
    <xf numFmtId="0" fontId="9" fillId="0" borderId="139" xfId="1" applyFont="1" applyBorder="1" applyAlignment="1">
      <alignment horizontal="center" vertical="center"/>
    </xf>
    <xf numFmtId="178" fontId="9" fillId="0" borderId="33" xfId="1" applyNumberFormat="1" applyFont="1" applyBorder="1" applyAlignment="1">
      <alignment horizontal="center" vertical="center"/>
    </xf>
    <xf numFmtId="0" fontId="9" fillId="0" borderId="14" xfId="1" applyFont="1" applyBorder="1" applyAlignment="1">
      <alignment horizontal="center" vertical="center"/>
    </xf>
    <xf numFmtId="49" fontId="9" fillId="0" borderId="14" xfId="1" applyNumberFormat="1" applyFont="1" applyBorder="1" applyAlignment="1">
      <alignment horizontal="center" vertical="center"/>
    </xf>
    <xf numFmtId="178" fontId="9" fillId="0" borderId="82" xfId="1" applyNumberFormat="1" applyFont="1" applyBorder="1" applyAlignment="1">
      <alignment vertical="center"/>
    </xf>
    <xf numFmtId="178" fontId="9" fillId="0" borderId="34" xfId="1" applyNumberFormat="1" applyFont="1" applyBorder="1" applyAlignment="1">
      <alignment vertical="center"/>
    </xf>
    <xf numFmtId="180" fontId="9" fillId="0" borderId="141" xfId="1" applyNumberFormat="1" applyFont="1" applyBorder="1" applyAlignment="1">
      <alignment horizontal="center" vertical="center"/>
    </xf>
    <xf numFmtId="180" fontId="9" fillId="0" borderId="142" xfId="1" applyNumberFormat="1" applyFont="1" applyBorder="1" applyAlignment="1">
      <alignment horizontal="center" vertical="center"/>
    </xf>
    <xf numFmtId="179" fontId="9" fillId="0" borderId="143" xfId="1" applyNumberFormat="1" applyFont="1" applyBorder="1" applyAlignment="1">
      <alignment horizontal="center" vertical="center"/>
    </xf>
    <xf numFmtId="0" fontId="9" fillId="0" borderId="71" xfId="1" applyFont="1" applyBorder="1" applyAlignment="1">
      <alignment horizontal="center" vertical="center"/>
    </xf>
    <xf numFmtId="49" fontId="9" fillId="0" borderId="72" xfId="1" applyNumberFormat="1" applyFont="1" applyBorder="1" applyAlignment="1">
      <alignment horizontal="center" vertical="center"/>
    </xf>
    <xf numFmtId="180" fontId="9" fillId="0" borderId="73" xfId="1" applyNumberFormat="1" applyFont="1" applyBorder="1" applyAlignment="1">
      <alignment horizontal="center" vertical="center"/>
    </xf>
    <xf numFmtId="180" fontId="9" fillId="0" borderId="74" xfId="1" applyNumberFormat="1" applyFont="1" applyBorder="1" applyAlignment="1">
      <alignment horizontal="center" vertical="center"/>
    </xf>
    <xf numFmtId="180" fontId="9" fillId="0" borderId="75" xfId="1" applyNumberFormat="1" applyFont="1" applyBorder="1" applyAlignment="1">
      <alignment horizontal="center" vertical="center"/>
    </xf>
    <xf numFmtId="180" fontId="9" fillId="0" borderId="76" xfId="1" applyNumberFormat="1" applyFont="1" applyBorder="1" applyAlignment="1">
      <alignment horizontal="center" vertical="center"/>
    </xf>
    <xf numFmtId="180" fontId="9" fillId="0" borderId="87" xfId="1" applyNumberFormat="1" applyFont="1" applyBorder="1" applyAlignment="1">
      <alignment horizontal="center" vertical="center"/>
    </xf>
    <xf numFmtId="177" fontId="9" fillId="0" borderId="73" xfId="1" applyNumberFormat="1" applyFont="1" applyBorder="1" applyAlignment="1">
      <alignment horizontal="center" vertical="center"/>
    </xf>
    <xf numFmtId="177" fontId="9" fillId="0" borderId="75" xfId="1" applyNumberFormat="1" applyFont="1" applyBorder="1" applyAlignment="1">
      <alignment horizontal="center" vertical="center"/>
    </xf>
    <xf numFmtId="0" fontId="9" fillId="0" borderId="73" xfId="1" applyFont="1" applyBorder="1" applyAlignment="1">
      <alignment horizontal="center" vertical="center"/>
    </xf>
    <xf numFmtId="0" fontId="9" fillId="0" borderId="72" xfId="1" applyFont="1" applyBorder="1" applyAlignment="1">
      <alignment horizontal="center" vertical="center"/>
    </xf>
    <xf numFmtId="0" fontId="9" fillId="0" borderId="136" xfId="1" applyFont="1" applyBorder="1" applyAlignment="1">
      <alignment horizontal="left" vertical="center"/>
    </xf>
    <xf numFmtId="0" fontId="9" fillId="0" borderId="84" xfId="1" applyFont="1" applyBorder="1" applyAlignment="1">
      <alignment horizontal="left" vertical="center"/>
    </xf>
    <xf numFmtId="177" fontId="9" fillId="0" borderId="62" xfId="1" applyNumberFormat="1" applyFont="1" applyBorder="1" applyAlignment="1">
      <alignment horizontal="center" vertical="center"/>
    </xf>
    <xf numFmtId="180" fontId="9" fillId="0" borderId="77" xfId="0" applyNumberFormat="1" applyFont="1" applyBorder="1" applyAlignment="1">
      <alignment horizontal="center" vertical="center"/>
    </xf>
    <xf numFmtId="180" fontId="9" fillId="0" borderId="28" xfId="0" applyNumberFormat="1" applyFont="1" applyBorder="1" applyAlignment="1">
      <alignment horizontal="center" vertical="center"/>
    </xf>
    <xf numFmtId="177" fontId="9" fillId="0" borderId="77" xfId="0" applyNumberFormat="1" applyFont="1" applyBorder="1" applyAlignment="1">
      <alignment horizontal="center" vertical="center"/>
    </xf>
    <xf numFmtId="177" fontId="9" fillId="0" borderId="68" xfId="1" applyNumberFormat="1" applyFont="1" applyBorder="1" applyAlignment="1">
      <alignment horizontal="center" vertical="center"/>
    </xf>
    <xf numFmtId="177" fontId="9" fillId="0" borderId="108" xfId="1" applyNumberFormat="1" applyFont="1" applyBorder="1" applyAlignment="1">
      <alignment horizontal="center" vertical="center"/>
    </xf>
    <xf numFmtId="49" fontId="9" fillId="0" borderId="60" xfId="1" applyNumberFormat="1" applyFont="1" applyBorder="1" applyAlignment="1">
      <alignment horizontal="center" vertical="center"/>
    </xf>
    <xf numFmtId="180" fontId="9" fillId="0" borderId="78" xfId="0" applyNumberFormat="1" applyFont="1" applyBorder="1" applyAlignment="1">
      <alignment horizontal="center" vertical="center"/>
    </xf>
    <xf numFmtId="180" fontId="9" fillId="0" borderId="81" xfId="0" applyNumberFormat="1" applyFont="1" applyBorder="1" applyAlignment="1">
      <alignment horizontal="center" vertical="center"/>
    </xf>
    <xf numFmtId="177" fontId="9" fillId="0" borderId="78" xfId="0" applyNumberFormat="1" applyFont="1" applyBorder="1" applyAlignment="1">
      <alignment horizontal="center" vertical="center"/>
    </xf>
    <xf numFmtId="177" fontId="9" fillId="0" borderId="80" xfId="1" applyNumberFormat="1" applyFont="1" applyBorder="1" applyAlignment="1">
      <alignment horizontal="center" vertical="center"/>
    </xf>
    <xf numFmtId="49" fontId="9" fillId="0" borderId="40" xfId="1" applyNumberFormat="1" applyFont="1" applyBorder="1" applyAlignment="1">
      <alignment horizontal="center" vertical="center"/>
    </xf>
    <xf numFmtId="178" fontId="9" fillId="0" borderId="82" xfId="1" applyNumberFormat="1" applyFont="1" applyBorder="1" applyAlignment="1">
      <alignment horizontal="center" vertical="center"/>
    </xf>
    <xf numFmtId="178" fontId="9" fillId="0" borderId="34" xfId="1" applyNumberFormat="1" applyFont="1" applyBorder="1" applyAlignment="1">
      <alignment horizontal="center" vertical="center"/>
    </xf>
    <xf numFmtId="0" fontId="9" fillId="0" borderId="34" xfId="1" applyFont="1" applyBorder="1" applyAlignment="1">
      <alignment horizontal="center" vertical="center"/>
    </xf>
    <xf numFmtId="49" fontId="9" fillId="0" borderId="139" xfId="1" applyNumberFormat="1" applyFont="1" applyBorder="1" applyAlignment="1">
      <alignment horizontal="center" vertical="center"/>
    </xf>
    <xf numFmtId="180" fontId="9" fillId="0" borderId="82" xfId="1" applyNumberFormat="1" applyFont="1" applyBorder="1" applyAlignment="1">
      <alignment horizontal="center" vertical="center"/>
    </xf>
    <xf numFmtId="180" fontId="9" fillId="0" borderId="140" xfId="1" applyNumberFormat="1" applyFont="1" applyBorder="1" applyAlignment="1">
      <alignment horizontal="center" vertical="center"/>
    </xf>
    <xf numFmtId="180" fontId="9" fillId="0" borderId="33" xfId="1" applyNumberFormat="1" applyFont="1" applyBorder="1" applyAlignment="1">
      <alignment horizontal="center" vertical="center"/>
    </xf>
    <xf numFmtId="180" fontId="9" fillId="0" borderId="151" xfId="1" applyNumberFormat="1" applyFont="1" applyBorder="1" applyAlignment="1">
      <alignment horizontal="center" vertical="center"/>
    </xf>
    <xf numFmtId="177" fontId="9" fillId="0" borderId="82" xfId="1" applyNumberFormat="1" applyFont="1" applyBorder="1" applyAlignment="1">
      <alignment horizontal="center" vertical="center"/>
    </xf>
    <xf numFmtId="177" fontId="9" fillId="0" borderId="140" xfId="1" applyNumberFormat="1" applyFont="1" applyBorder="1" applyAlignment="1">
      <alignment horizontal="center" vertical="center"/>
    </xf>
    <xf numFmtId="177" fontId="9" fillId="0" borderId="139" xfId="1" applyNumberFormat="1" applyFont="1" applyBorder="1" applyAlignment="1">
      <alignment horizontal="center" vertical="center"/>
    </xf>
    <xf numFmtId="0" fontId="9" fillId="0" borderId="82" xfId="1" applyFont="1" applyBorder="1" applyAlignment="1">
      <alignment horizontal="center" vertical="center"/>
    </xf>
    <xf numFmtId="0" fontId="9" fillId="0" borderId="156" xfId="1" applyFont="1" applyBorder="1" applyAlignment="1">
      <alignment horizontal="center" vertical="center"/>
    </xf>
    <xf numFmtId="0" fontId="9" fillId="2" borderId="56"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0" xfId="0" applyFont="1" applyFill="1" applyBorder="1" applyAlignment="1">
      <alignment horizontal="centerContinuous" vertical="center"/>
    </xf>
    <xf numFmtId="0" fontId="9" fillId="2" borderId="30" xfId="1" applyFont="1" applyFill="1" applyBorder="1" applyAlignment="1">
      <alignment horizontal="center" vertical="center"/>
    </xf>
    <xf numFmtId="1" fontId="9" fillId="2" borderId="30" xfId="0" applyNumberFormat="1" applyFont="1" applyFill="1" applyBorder="1" applyAlignment="1">
      <alignment horizontal="center" vertical="center"/>
    </xf>
    <xf numFmtId="0" fontId="9" fillId="2" borderId="30" xfId="1" applyFont="1" applyFill="1" applyBorder="1" applyAlignment="1">
      <alignment horizontal="centerContinuous" vertical="center"/>
    </xf>
    <xf numFmtId="176" fontId="9" fillId="2" borderId="30" xfId="0" applyNumberFormat="1" applyFont="1" applyFill="1" applyBorder="1" applyAlignment="1">
      <alignment horizontal="centerContinuous" vertical="center"/>
    </xf>
    <xf numFmtId="0" fontId="9" fillId="2" borderId="85" xfId="1" applyFont="1" applyFill="1" applyBorder="1" applyAlignment="1">
      <alignment horizontal="center" vertical="center"/>
    </xf>
    <xf numFmtId="1" fontId="9" fillId="0" borderId="28" xfId="0" applyNumberFormat="1" applyFont="1" applyBorder="1" applyAlignment="1">
      <alignment horizontal="center" vertical="center"/>
    </xf>
    <xf numFmtId="1" fontId="9" fillId="0" borderId="29" xfId="0" applyNumberFormat="1" applyFont="1" applyBorder="1" applyAlignment="1">
      <alignment horizontal="center" vertical="center"/>
    </xf>
    <xf numFmtId="0" fontId="9" fillId="0" borderId="144" xfId="1" applyFont="1" applyBorder="1" applyAlignment="1">
      <alignment horizontal="center" vertical="center"/>
    </xf>
    <xf numFmtId="0" fontId="9" fillId="0" borderId="134" xfId="1" applyFont="1" applyBorder="1" applyAlignment="1">
      <alignment horizontal="left" vertical="center"/>
    </xf>
    <xf numFmtId="0" fontId="9" fillId="0" borderId="91" xfId="1" applyFont="1" applyBorder="1" applyAlignment="1">
      <alignment horizontal="left" vertical="center"/>
    </xf>
    <xf numFmtId="1" fontId="9" fillId="0" borderId="82" xfId="0" applyNumberFormat="1" applyFont="1" applyBorder="1" applyAlignment="1">
      <alignment horizontal="center" vertical="center"/>
    </xf>
    <xf numFmtId="1" fontId="9" fillId="0" borderId="33" xfId="0" applyNumberFormat="1" applyFont="1" applyBorder="1" applyAlignment="1">
      <alignment horizontal="center" vertical="center"/>
    </xf>
    <xf numFmtId="1" fontId="9" fillId="0" borderId="34" xfId="0" applyNumberFormat="1" applyFont="1" applyBorder="1" applyAlignment="1">
      <alignment horizontal="center" vertical="center"/>
    </xf>
    <xf numFmtId="178" fontId="9" fillId="0" borderId="83" xfId="1" applyNumberFormat="1" applyFont="1" applyBorder="1" applyAlignment="1">
      <alignment horizontal="right" vertical="center"/>
    </xf>
    <xf numFmtId="178" fontId="9" fillId="0" borderId="11" xfId="1" applyNumberFormat="1" applyFont="1" applyBorder="1" applyAlignment="1">
      <alignment horizontal="right" vertical="center"/>
    </xf>
    <xf numFmtId="49" fontId="11" fillId="0" borderId="0" xfId="1" applyNumberFormat="1" applyFont="1" applyAlignment="1">
      <alignment horizontal="center" vertical="center"/>
    </xf>
    <xf numFmtId="0" fontId="11" fillId="0" borderId="0" xfId="1" applyFont="1" applyAlignment="1">
      <alignment horizontal="center" vertical="center"/>
    </xf>
    <xf numFmtId="0" fontId="9" fillId="0" borderId="17" xfId="1" applyFont="1" applyBorder="1" applyAlignment="1">
      <alignment horizontal="center" vertical="center" shrinkToFit="1"/>
    </xf>
    <xf numFmtId="0" fontId="9" fillId="0" borderId="0" xfId="1" applyFont="1" applyAlignment="1">
      <alignment horizontal="center" vertical="center" shrinkToFit="1"/>
    </xf>
    <xf numFmtId="0" fontId="9" fillId="0" borderId="40" xfId="1" applyFont="1" applyBorder="1" applyAlignment="1">
      <alignment horizontal="center" vertical="center" shrinkToFit="1"/>
    </xf>
    <xf numFmtId="0" fontId="9" fillId="0" borderId="30" xfId="1" applyFont="1" applyBorder="1" applyAlignment="1">
      <alignment horizontal="center" vertical="center" shrinkToFit="1"/>
    </xf>
    <xf numFmtId="0" fontId="9" fillId="0" borderId="139" xfId="1" applyFont="1" applyBorder="1" applyAlignment="1">
      <alignment horizontal="center" vertical="center" shrinkToFit="1"/>
    </xf>
    <xf numFmtId="0" fontId="11" fillId="0" borderId="0" xfId="1" applyFont="1" applyAlignment="1">
      <alignment horizontal="center" vertical="center" shrinkToFit="1"/>
    </xf>
    <xf numFmtId="0" fontId="9" fillId="0" borderId="142" xfId="1" applyFont="1" applyBorder="1" applyAlignment="1">
      <alignment horizontal="center" vertical="center" shrinkToFit="1"/>
    </xf>
    <xf numFmtId="0" fontId="9" fillId="0" borderId="13" xfId="1" applyFont="1" applyBorder="1" applyAlignment="1">
      <alignment horizontal="center" vertical="center" shrinkToFit="1"/>
    </xf>
    <xf numFmtId="0" fontId="9" fillId="0" borderId="130" xfId="1" applyFont="1" applyBorder="1" applyAlignment="1">
      <alignment horizontal="center" vertical="center" shrinkToFit="1"/>
    </xf>
    <xf numFmtId="0" fontId="9" fillId="0" borderId="49" xfId="1" applyFont="1" applyBorder="1" applyAlignment="1">
      <alignment horizontal="center" vertical="center" shrinkToFit="1"/>
    </xf>
    <xf numFmtId="0" fontId="9" fillId="0" borderId="14" xfId="1" applyFont="1" applyBorder="1" applyAlignment="1">
      <alignment horizontal="center" vertical="center" shrinkToFit="1"/>
    </xf>
    <xf numFmtId="1" fontId="9" fillId="2" borderId="30" xfId="0" applyNumberFormat="1" applyFont="1" applyFill="1" applyBorder="1" applyAlignment="1">
      <alignment horizontal="center" vertical="center" shrinkToFit="1"/>
    </xf>
    <xf numFmtId="0" fontId="14" fillId="0" borderId="17" xfId="1" applyFont="1" applyBorder="1" applyAlignment="1">
      <alignment horizontal="center" vertical="center"/>
    </xf>
    <xf numFmtId="0" fontId="14" fillId="0" borderId="44" xfId="1" applyFont="1" applyBorder="1" applyAlignment="1">
      <alignment horizontal="center" vertical="center"/>
    </xf>
    <xf numFmtId="0" fontId="9" fillId="0" borderId="127" xfId="1" applyFont="1" applyBorder="1" applyAlignment="1">
      <alignment horizontal="center" vertical="center" shrinkToFit="1"/>
    </xf>
    <xf numFmtId="0" fontId="9" fillId="0" borderId="45" xfId="1" applyFont="1" applyBorder="1" applyAlignment="1">
      <alignment horizontal="center" vertical="center" shrinkToFit="1"/>
    </xf>
    <xf numFmtId="0" fontId="9" fillId="0" borderId="52" xfId="1" applyFont="1" applyBorder="1" applyAlignment="1">
      <alignment horizontal="center" vertical="center" shrinkToFit="1"/>
    </xf>
    <xf numFmtId="0" fontId="9" fillId="0" borderId="37" xfId="1" applyFont="1" applyBorder="1" applyAlignment="1">
      <alignment horizontal="center" vertical="center" shrinkToFit="1"/>
    </xf>
    <xf numFmtId="0" fontId="9" fillId="0" borderId="64" xfId="1" applyFont="1" applyBorder="1" applyAlignment="1">
      <alignment horizontal="center" vertical="center" shrinkToFit="1"/>
    </xf>
    <xf numFmtId="0" fontId="9" fillId="0" borderId="58" xfId="1" applyFont="1" applyBorder="1" applyAlignment="1">
      <alignment horizontal="center" vertical="center" shrinkToFit="1"/>
    </xf>
    <xf numFmtId="0" fontId="9" fillId="0" borderId="39" xfId="1" applyFont="1" applyBorder="1" applyAlignment="1">
      <alignment horizontal="center" vertical="center" shrinkToFit="1"/>
    </xf>
    <xf numFmtId="0" fontId="3" fillId="0" borderId="52" xfId="1" applyFont="1" applyBorder="1" applyAlignment="1">
      <alignment horizontal="center" vertical="center" shrinkToFit="1"/>
    </xf>
    <xf numFmtId="0" fontId="9" fillId="0" borderId="15" xfId="1" applyFont="1" applyBorder="1" applyAlignment="1">
      <alignment horizontal="center" vertical="center" shrinkToFit="1"/>
    </xf>
    <xf numFmtId="0" fontId="9" fillId="0" borderId="141" xfId="1" applyFont="1" applyBorder="1" applyAlignment="1">
      <alignment horizontal="center" vertical="center" shrinkToFit="1"/>
    </xf>
    <xf numFmtId="0" fontId="9" fillId="2" borderId="30" xfId="0" applyFont="1" applyFill="1" applyBorder="1" applyAlignment="1">
      <alignment horizontal="center" vertical="center" shrinkToFit="1"/>
    </xf>
    <xf numFmtId="0" fontId="14" fillId="0" borderId="108" xfId="1" applyFont="1" applyBorder="1" applyAlignment="1">
      <alignment horizontal="center" vertical="center"/>
    </xf>
    <xf numFmtId="0" fontId="9" fillId="0" borderId="2" xfId="1" applyFont="1" applyBorder="1" applyAlignment="1">
      <alignment horizontal="center" vertical="center"/>
    </xf>
    <xf numFmtId="0" fontId="9" fillId="0" borderId="1" xfId="1" applyFont="1" applyBorder="1" applyAlignment="1">
      <alignment horizontal="center" vertical="center"/>
    </xf>
    <xf numFmtId="179" fontId="9" fillId="0" borderId="6" xfId="1" applyNumberFormat="1" applyFont="1" applyBorder="1" applyAlignment="1">
      <alignment horizontal="center" vertical="center"/>
    </xf>
    <xf numFmtId="1" fontId="9" fillId="0" borderId="88" xfId="0" applyNumberFormat="1" applyFont="1" applyBorder="1" applyAlignment="1">
      <alignment horizontal="center" vertical="center"/>
    </xf>
    <xf numFmtId="1" fontId="9" fillId="0" borderId="89" xfId="0" applyNumberFormat="1" applyFont="1" applyBorder="1" applyAlignment="1">
      <alignment horizontal="center" vertical="center"/>
    </xf>
    <xf numFmtId="178" fontId="9" fillId="0" borderId="36" xfId="1" applyNumberFormat="1" applyFont="1" applyBorder="1" applyAlignment="1">
      <alignment horizontal="center" vertical="center"/>
    </xf>
    <xf numFmtId="49" fontId="9" fillId="0" borderId="6" xfId="1" applyNumberFormat="1" applyFont="1" applyBorder="1" applyAlignment="1">
      <alignment horizontal="center" vertical="center"/>
    </xf>
    <xf numFmtId="178" fontId="9" fillId="0" borderId="88" xfId="1" applyNumberFormat="1" applyFont="1" applyBorder="1" applyAlignment="1">
      <alignment horizontal="center" vertical="center"/>
    </xf>
    <xf numFmtId="178" fontId="9" fillId="0" borderId="3" xfId="1" applyNumberFormat="1" applyFont="1" applyBorder="1" applyAlignment="1">
      <alignment horizontal="center" vertical="center"/>
    </xf>
    <xf numFmtId="180" fontId="9" fillId="0" borderId="146" xfId="1" applyNumberFormat="1" applyFont="1" applyBorder="1" applyAlignment="1">
      <alignment horizontal="center" vertical="center"/>
    </xf>
    <xf numFmtId="179" fontId="9" fillId="0" borderId="147" xfId="1" applyNumberFormat="1" applyFont="1" applyBorder="1" applyAlignment="1">
      <alignment horizontal="center" vertical="center"/>
    </xf>
    <xf numFmtId="0" fontId="9" fillId="0" borderId="5" xfId="1" applyFont="1" applyBorder="1" applyAlignment="1">
      <alignment horizontal="center" vertical="center"/>
    </xf>
    <xf numFmtId="49" fontId="9" fillId="0" borderId="4" xfId="1" applyNumberFormat="1" applyFont="1" applyBorder="1" applyAlignment="1">
      <alignment horizontal="center" vertical="center"/>
    </xf>
    <xf numFmtId="180" fontId="9" fillId="0" borderId="125" xfId="1" applyNumberFormat="1" applyFont="1" applyBorder="1" applyAlignment="1">
      <alignment horizontal="center" vertical="center"/>
    </xf>
    <xf numFmtId="180" fontId="9" fillId="0" borderId="126" xfId="1" applyNumberFormat="1" applyFont="1" applyBorder="1" applyAlignment="1">
      <alignment horizontal="center" vertical="center"/>
    </xf>
    <xf numFmtId="180" fontId="9" fillId="0" borderId="148" xfId="1" applyNumberFormat="1" applyFont="1" applyBorder="1" applyAlignment="1">
      <alignment horizontal="center" vertical="center"/>
    </xf>
    <xf numFmtId="180" fontId="9" fillId="0" borderId="149" xfId="1" applyNumberFormat="1" applyFont="1" applyBorder="1" applyAlignment="1">
      <alignment horizontal="center" vertical="center"/>
    </xf>
    <xf numFmtId="180" fontId="9" fillId="0" borderId="150" xfId="1" applyNumberFormat="1" applyFont="1" applyBorder="1" applyAlignment="1">
      <alignment horizontal="center" vertical="center"/>
    </xf>
    <xf numFmtId="0" fontId="9" fillId="0" borderId="157" xfId="1" applyFont="1" applyBorder="1" applyAlignment="1">
      <alignment horizontal="left" vertical="center"/>
    </xf>
    <xf numFmtId="0" fontId="9" fillId="0" borderId="158" xfId="1" applyFont="1" applyBorder="1" applyAlignment="1">
      <alignment horizontal="left" vertical="center"/>
    </xf>
    <xf numFmtId="0" fontId="9" fillId="0" borderId="38" xfId="1" applyFont="1" applyBorder="1" applyAlignment="1">
      <alignment horizontal="center" vertical="center" shrinkToFit="1"/>
    </xf>
    <xf numFmtId="177" fontId="9" fillId="0" borderId="74" xfId="1" applyNumberFormat="1" applyFont="1" applyBorder="1" applyAlignment="1">
      <alignment horizontal="center" vertical="center"/>
    </xf>
    <xf numFmtId="177" fontId="9" fillId="0" borderId="72" xfId="1" applyNumberFormat="1" applyFont="1" applyBorder="1" applyAlignment="1">
      <alignment horizontal="center" vertical="center"/>
    </xf>
    <xf numFmtId="0" fontId="9" fillId="0" borderId="159" xfId="1" applyFont="1" applyBorder="1" applyAlignment="1">
      <alignment horizontal="left" vertical="center" shrinkToFit="1"/>
    </xf>
    <xf numFmtId="0" fontId="9" fillId="0" borderId="0" xfId="0" applyFont="1" applyAlignment="1">
      <alignment vertical="center"/>
    </xf>
    <xf numFmtId="0" fontId="9" fillId="0" borderId="108" xfId="1" applyFont="1" applyBorder="1" applyAlignment="1">
      <alignment horizontal="center" vertical="center" shrinkToFit="1"/>
    </xf>
    <xf numFmtId="0" fontId="9" fillId="0" borderId="160" xfId="1" applyFont="1" applyBorder="1" applyAlignment="1">
      <alignment horizontal="left" vertical="center" shrinkToFit="1"/>
    </xf>
    <xf numFmtId="0" fontId="9" fillId="0" borderId="32" xfId="1" applyFont="1" applyBorder="1" applyAlignment="1">
      <alignment horizontal="center" vertical="center" shrinkToFit="1"/>
    </xf>
    <xf numFmtId="0" fontId="9" fillId="0" borderId="161" xfId="1" applyFont="1" applyBorder="1" applyAlignment="1">
      <alignment horizontal="left" vertical="center" shrinkToFit="1"/>
    </xf>
    <xf numFmtId="0" fontId="9" fillId="0" borderId="159" xfId="1" applyFont="1" applyBorder="1" applyAlignment="1">
      <alignment horizontal="left" vertical="center"/>
    </xf>
    <xf numFmtId="0" fontId="9" fillId="0" borderId="106" xfId="1" applyFont="1" applyBorder="1" applyAlignment="1">
      <alignment horizontal="center" vertical="center" shrinkToFit="1"/>
    </xf>
    <xf numFmtId="0" fontId="9" fillId="0" borderId="162" xfId="1" applyFont="1" applyBorder="1" applyAlignment="1">
      <alignment horizontal="left" vertical="center"/>
    </xf>
    <xf numFmtId="0" fontId="9" fillId="0" borderId="161" xfId="1" applyFont="1" applyBorder="1" applyAlignment="1">
      <alignment horizontal="left" vertical="center"/>
    </xf>
    <xf numFmtId="0" fontId="9" fillId="0" borderId="162" xfId="1" applyFont="1" applyBorder="1" applyAlignment="1">
      <alignment horizontal="left" vertical="center" shrinkToFit="1"/>
    </xf>
    <xf numFmtId="0" fontId="9" fillId="0" borderId="113" xfId="1" applyFont="1" applyBorder="1" applyAlignment="1">
      <alignment horizontal="center" vertical="center" shrinkToFit="1"/>
    </xf>
    <xf numFmtId="49" fontId="9" fillId="0" borderId="109" xfId="1" applyNumberFormat="1" applyFont="1" applyBorder="1" applyAlignment="1">
      <alignment horizontal="center" vertical="center"/>
    </xf>
    <xf numFmtId="180" fontId="9" fillId="0" borderId="112" xfId="1" applyNumberFormat="1" applyFont="1" applyBorder="1" applyAlignment="1">
      <alignment horizontal="center" vertical="center"/>
    </xf>
    <xf numFmtId="180" fontId="9" fillId="0" borderId="110" xfId="1" applyNumberFormat="1" applyFont="1" applyBorder="1" applyAlignment="1">
      <alignment horizontal="center" vertical="center"/>
    </xf>
    <xf numFmtId="180" fontId="9" fillId="0" borderId="115" xfId="1" applyNumberFormat="1" applyFont="1" applyBorder="1" applyAlignment="1">
      <alignment horizontal="center" vertical="center"/>
    </xf>
    <xf numFmtId="180" fontId="9" fillId="0" borderId="111" xfId="1" applyNumberFormat="1" applyFont="1" applyBorder="1" applyAlignment="1">
      <alignment horizontal="center" vertical="center"/>
    </xf>
    <xf numFmtId="180" fontId="9" fillId="0" borderId="116" xfId="1" applyNumberFormat="1" applyFont="1" applyBorder="1" applyAlignment="1">
      <alignment horizontal="center" vertical="center"/>
    </xf>
    <xf numFmtId="177" fontId="9" fillId="0" borderId="112" xfId="1" applyNumberFormat="1" applyFont="1" applyBorder="1" applyAlignment="1">
      <alignment horizontal="center" vertical="center"/>
    </xf>
    <xf numFmtId="177" fontId="9" fillId="0" borderId="110" xfId="1" applyNumberFormat="1" applyFont="1" applyBorder="1" applyAlignment="1">
      <alignment horizontal="center" vertical="center"/>
    </xf>
    <xf numFmtId="177" fontId="9" fillId="0" borderId="109" xfId="1" applyNumberFormat="1" applyFont="1" applyBorder="1" applyAlignment="1">
      <alignment horizontal="center" vertical="center"/>
    </xf>
    <xf numFmtId="0" fontId="9" fillId="0" borderId="112" xfId="1" applyFont="1" applyBorder="1" applyAlignment="1">
      <alignment horizontal="center" vertical="center"/>
    </xf>
    <xf numFmtId="0" fontId="9" fillId="0" borderId="109" xfId="1" applyFont="1" applyBorder="1" applyAlignment="1">
      <alignment horizontal="center" vertical="center"/>
    </xf>
    <xf numFmtId="0" fontId="9" fillId="0" borderId="117" xfId="1" applyFont="1" applyBorder="1" applyAlignment="1">
      <alignment horizontal="center" vertical="center"/>
    </xf>
    <xf numFmtId="0" fontId="9" fillId="0" borderId="163" xfId="1" applyFont="1" applyBorder="1" applyAlignment="1">
      <alignment horizontal="left" vertical="center"/>
    </xf>
    <xf numFmtId="0" fontId="9" fillId="0" borderId="100" xfId="1" applyFont="1" applyBorder="1" applyAlignment="1">
      <alignment horizontal="center" vertical="center"/>
    </xf>
    <xf numFmtId="179" fontId="9" fillId="0" borderId="101" xfId="1" applyNumberFormat="1" applyFont="1" applyBorder="1" applyAlignment="1">
      <alignment horizontal="center" vertical="center"/>
    </xf>
    <xf numFmtId="179" fontId="9" fillId="0" borderId="72" xfId="1" applyNumberFormat="1" applyFont="1" applyBorder="1" applyAlignment="1">
      <alignment horizontal="center" vertical="center"/>
    </xf>
    <xf numFmtId="179" fontId="9" fillId="0" borderId="74" xfId="1" applyNumberFormat="1" applyFont="1" applyBorder="1" applyAlignment="1">
      <alignment horizontal="center" vertical="center"/>
    </xf>
    <xf numFmtId="178" fontId="9" fillId="0" borderId="72" xfId="1" applyNumberFormat="1" applyFont="1" applyBorder="1" applyAlignment="1">
      <alignment horizontal="center" vertical="center"/>
    </xf>
    <xf numFmtId="178" fontId="9" fillId="0" borderId="76" xfId="1" applyNumberFormat="1" applyFont="1" applyBorder="1" applyAlignment="1">
      <alignment horizontal="center" vertical="center"/>
    </xf>
    <xf numFmtId="49" fontId="9" fillId="0" borderId="101" xfId="1" applyNumberFormat="1" applyFont="1" applyBorder="1" applyAlignment="1">
      <alignment horizontal="center" vertical="center"/>
    </xf>
    <xf numFmtId="178" fontId="9" fillId="0" borderId="73" xfId="1" applyNumberFormat="1" applyFont="1" applyBorder="1" applyAlignment="1">
      <alignment vertical="center"/>
    </xf>
    <xf numFmtId="178" fontId="9" fillId="0" borderId="38" xfId="1" applyNumberFormat="1" applyFont="1" applyBorder="1" applyAlignment="1">
      <alignment vertical="center"/>
    </xf>
    <xf numFmtId="180" fontId="9" fillId="0" borderId="15" xfId="1" applyNumberFormat="1" applyFont="1" applyBorder="1" applyAlignment="1">
      <alignment horizontal="center" vertical="center"/>
    </xf>
    <xf numFmtId="179" fontId="9" fillId="0" borderId="102" xfId="1" applyNumberFormat="1" applyFont="1" applyBorder="1" applyAlignment="1">
      <alignment horizontal="center" vertical="center"/>
    </xf>
    <xf numFmtId="180" fontId="9" fillId="0" borderId="95" xfId="1" applyNumberFormat="1" applyFont="1" applyBorder="1" applyAlignment="1">
      <alignment horizontal="center" vertical="center"/>
    </xf>
    <xf numFmtId="178" fontId="9" fillId="0" borderId="77" xfId="1" applyNumberFormat="1" applyFont="1" applyBorder="1" applyAlignment="1">
      <alignment horizontal="center" vertical="center"/>
    </xf>
    <xf numFmtId="178" fontId="9" fillId="0" borderId="29" xfId="1" applyNumberFormat="1" applyFont="1" applyBorder="1" applyAlignment="1">
      <alignment horizontal="center" vertical="center"/>
    </xf>
    <xf numFmtId="180" fontId="9" fillId="0" borderId="93" xfId="1" applyNumberFormat="1" applyFont="1" applyBorder="1" applyAlignment="1">
      <alignment horizontal="center" vertical="center"/>
    </xf>
    <xf numFmtId="0" fontId="9" fillId="0" borderId="160" xfId="1" applyFont="1" applyBorder="1" applyAlignment="1">
      <alignment horizontal="left" vertical="center"/>
    </xf>
    <xf numFmtId="0" fontId="9" fillId="0" borderId="104" xfId="1" applyFont="1" applyBorder="1" applyAlignment="1">
      <alignment horizontal="center" vertical="center"/>
    </xf>
    <xf numFmtId="179" fontId="9" fillId="0" borderId="105" xfId="1" applyNumberFormat="1" applyFont="1" applyBorder="1" applyAlignment="1">
      <alignment horizontal="center" vertical="center"/>
    </xf>
    <xf numFmtId="179" fontId="9" fillId="0" borderId="59" xfId="1" applyNumberFormat="1" applyFont="1" applyBorder="1" applyAlignment="1">
      <alignment horizontal="center" vertical="center"/>
    </xf>
    <xf numFmtId="179" fontId="9" fillId="0" borderId="61" xfId="1" applyNumberFormat="1" applyFont="1" applyBorder="1" applyAlignment="1">
      <alignment horizontal="center" vertical="center"/>
    </xf>
    <xf numFmtId="178" fontId="9" fillId="0" borderId="59" xfId="1" applyNumberFormat="1" applyFont="1" applyBorder="1" applyAlignment="1">
      <alignment horizontal="center" vertical="center"/>
    </xf>
    <xf numFmtId="178" fontId="9" fillId="0" borderId="63" xfId="1" applyNumberFormat="1" applyFont="1" applyBorder="1" applyAlignment="1">
      <alignment horizontal="center" vertical="center"/>
    </xf>
    <xf numFmtId="49" fontId="9" fillId="0" borderId="105" xfId="1" applyNumberFormat="1" applyFont="1" applyBorder="1" applyAlignment="1">
      <alignment horizontal="center" vertical="center"/>
    </xf>
    <xf numFmtId="178" fontId="9" fillId="0" borderId="60" xfId="1" applyNumberFormat="1" applyFont="1" applyBorder="1" applyAlignment="1">
      <alignment vertical="center"/>
    </xf>
    <xf numFmtId="178" fontId="9" fillId="0" borderId="106" xfId="1" applyNumberFormat="1" applyFont="1" applyBorder="1" applyAlignment="1">
      <alignment vertical="center"/>
    </xf>
    <xf numFmtId="180" fontId="9" fillId="0" borderId="64" xfId="1" applyNumberFormat="1" applyFont="1" applyBorder="1" applyAlignment="1">
      <alignment horizontal="center" vertical="center"/>
    </xf>
    <xf numFmtId="179" fontId="9" fillId="0" borderId="107" xfId="1" applyNumberFormat="1" applyFont="1" applyBorder="1" applyAlignment="1">
      <alignment horizontal="center" vertical="center"/>
    </xf>
    <xf numFmtId="1" fontId="9" fillId="0" borderId="51" xfId="0" applyNumberFormat="1" applyFont="1" applyBorder="1" applyAlignment="1">
      <alignment horizontal="center" vertical="center"/>
    </xf>
    <xf numFmtId="1" fontId="9" fillId="0" borderId="31" xfId="0" applyNumberFormat="1" applyFont="1" applyBorder="1" applyAlignment="1">
      <alignment horizontal="center" vertical="center"/>
    </xf>
    <xf numFmtId="1" fontId="9" fillId="0" borderId="32" xfId="0" applyNumberFormat="1" applyFont="1" applyBorder="1" applyAlignment="1">
      <alignment horizontal="center" vertical="center"/>
    </xf>
    <xf numFmtId="0" fontId="9" fillId="0" borderId="164" xfId="1" applyFont="1" applyBorder="1" applyAlignment="1">
      <alignment horizontal="left" vertical="center"/>
    </xf>
    <xf numFmtId="49" fontId="9" fillId="0" borderId="77" xfId="1" applyNumberFormat="1" applyFont="1" applyBorder="1" applyAlignment="1">
      <alignment horizontal="center" vertical="center"/>
    </xf>
    <xf numFmtId="180" fontId="9" fillId="0" borderId="83" xfId="1" applyNumberFormat="1" applyFont="1" applyBorder="1" applyAlignment="1">
      <alignment horizontal="center" vertical="center"/>
    </xf>
    <xf numFmtId="180" fontId="9" fillId="0" borderId="119" xfId="1" applyNumberFormat="1" applyFont="1" applyBorder="1" applyAlignment="1">
      <alignment horizontal="center" vertical="center"/>
    </xf>
    <xf numFmtId="180" fontId="9" fillId="0" borderId="12" xfId="1" applyNumberFormat="1" applyFont="1" applyBorder="1" applyAlignment="1">
      <alignment horizontal="center" vertical="center"/>
    </xf>
    <xf numFmtId="180" fontId="9" fillId="0" borderId="152" xfId="1" applyNumberFormat="1" applyFont="1" applyBorder="1" applyAlignment="1">
      <alignment horizontal="center" vertical="center"/>
    </xf>
    <xf numFmtId="1" fontId="9" fillId="0" borderId="12" xfId="0" applyNumberFormat="1" applyFont="1" applyBorder="1" applyAlignment="1">
      <alignment horizontal="center" vertical="center"/>
    </xf>
    <xf numFmtId="49" fontId="9" fillId="0" borderId="154" xfId="1" applyNumberFormat="1" applyFont="1" applyBorder="1" applyAlignment="1">
      <alignment horizontal="center" vertical="center"/>
    </xf>
    <xf numFmtId="180" fontId="9" fillId="0" borderId="135" xfId="1" applyNumberFormat="1" applyFont="1" applyBorder="1" applyAlignment="1">
      <alignment horizontal="center" vertical="center"/>
    </xf>
    <xf numFmtId="49" fontId="9" fillId="0" borderId="153" xfId="1" applyNumberFormat="1" applyFont="1" applyBorder="1" applyAlignment="1">
      <alignment horizontal="center" vertical="center"/>
    </xf>
    <xf numFmtId="180" fontId="9" fillId="0" borderId="24" xfId="1" applyNumberFormat="1" applyFont="1" applyBorder="1" applyAlignment="1">
      <alignment horizontal="center" vertical="center"/>
    </xf>
    <xf numFmtId="49" fontId="9" fillId="0" borderId="0" xfId="1" applyNumberFormat="1" applyFont="1" applyAlignment="1">
      <alignment horizontal="center" vertical="center"/>
    </xf>
    <xf numFmtId="49" fontId="9" fillId="0" borderId="0" xfId="1" applyNumberFormat="1" applyFont="1" applyAlignment="1">
      <alignment vertical="center"/>
    </xf>
    <xf numFmtId="0" fontId="9" fillId="0" borderId="6" xfId="1" applyFont="1" applyBorder="1" applyAlignment="1">
      <alignment horizontal="center" vertical="center" shrinkToFit="1"/>
    </xf>
    <xf numFmtId="0" fontId="9" fillId="0" borderId="101" xfId="1" applyFont="1" applyBorder="1" applyAlignment="1">
      <alignment horizontal="center" vertical="center" shrinkToFit="1"/>
    </xf>
    <xf numFmtId="0" fontId="9" fillId="0" borderId="105" xfId="1" applyFont="1" applyBorder="1" applyAlignment="1">
      <alignment horizontal="center" vertical="center" shrinkToFit="1"/>
    </xf>
    <xf numFmtId="179" fontId="9" fillId="0" borderId="28" xfId="1" applyNumberFormat="1" applyFont="1" applyBorder="1" applyAlignment="1">
      <alignment horizontal="center" vertical="center"/>
    </xf>
    <xf numFmtId="0" fontId="9" fillId="0" borderId="32" xfId="0" applyFont="1" applyBorder="1" applyAlignment="1">
      <alignment horizontal="center" vertical="center"/>
    </xf>
    <xf numFmtId="0" fontId="9" fillId="0" borderId="11" xfId="1" applyFont="1" applyBorder="1" applyAlignment="1">
      <alignment horizontal="center" vertical="center"/>
    </xf>
    <xf numFmtId="0" fontId="9" fillId="0" borderId="154" xfId="1" applyFont="1" applyBorder="1" applyAlignment="1">
      <alignment horizontal="center" vertical="center"/>
    </xf>
    <xf numFmtId="49" fontId="9" fillId="0" borderId="17" xfId="1" applyNumberFormat="1" applyFont="1" applyBorder="1" applyAlignment="1">
      <alignment horizontal="center" vertical="center"/>
    </xf>
    <xf numFmtId="180" fontId="9" fillId="0" borderId="97" xfId="1" applyNumberFormat="1" applyFont="1" applyBorder="1" applyAlignment="1">
      <alignment horizontal="center" vertical="center"/>
    </xf>
    <xf numFmtId="49" fontId="9" fillId="0" borderId="113" xfId="1" applyNumberFormat="1" applyFont="1" applyBorder="1" applyAlignment="1">
      <alignment horizontal="center" vertical="center"/>
    </xf>
    <xf numFmtId="49" fontId="9" fillId="0" borderId="11" xfId="1" applyNumberFormat="1" applyFont="1" applyBorder="1" applyAlignment="1">
      <alignment horizontal="center" vertical="center"/>
    </xf>
    <xf numFmtId="49" fontId="9" fillId="0" borderId="29" xfId="1" applyNumberFormat="1" applyFont="1" applyBorder="1" applyAlignment="1">
      <alignment horizontal="center" vertical="center"/>
    </xf>
    <xf numFmtId="180" fontId="9" fillId="0" borderId="144" xfId="1" applyNumberFormat="1" applyFont="1" applyBorder="1" applyAlignment="1">
      <alignment horizontal="center" vertical="center"/>
    </xf>
    <xf numFmtId="177" fontId="9" fillId="0" borderId="132" xfId="1" applyNumberFormat="1" applyFont="1" applyBorder="1" applyAlignment="1">
      <alignment horizontal="center" vertical="center"/>
    </xf>
    <xf numFmtId="177" fontId="9" fillId="0" borderId="63" xfId="1" applyNumberFormat="1" applyFont="1" applyBorder="1" applyAlignment="1">
      <alignment horizontal="center" vertical="center"/>
    </xf>
    <xf numFmtId="177" fontId="9" fillId="0" borderId="69" xfId="1" applyNumberFormat="1" applyFont="1" applyBorder="1" applyAlignment="1">
      <alignment horizontal="center" vertical="center"/>
    </xf>
    <xf numFmtId="177" fontId="9" fillId="0" borderId="76" xfId="1" applyNumberFormat="1" applyFont="1" applyBorder="1" applyAlignment="1">
      <alignment horizontal="center" vertical="center"/>
    </xf>
    <xf numFmtId="177" fontId="9" fillId="0" borderId="28" xfId="1" applyNumberFormat="1" applyFont="1" applyBorder="1" applyAlignment="1">
      <alignment horizontal="center" vertical="center"/>
    </xf>
    <xf numFmtId="1" fontId="9" fillId="0" borderId="83" xfId="0" applyNumberFormat="1" applyFont="1" applyBorder="1" applyAlignment="1">
      <alignment horizontal="center" vertical="center"/>
    </xf>
    <xf numFmtId="178" fontId="9" fillId="0" borderId="40" xfId="1" quotePrefix="1" applyNumberFormat="1" applyFont="1" applyBorder="1" applyAlignment="1">
      <alignment horizontal="center" vertical="center"/>
    </xf>
    <xf numFmtId="178" fontId="9" fillId="0" borderId="28" xfId="1" quotePrefix="1" applyNumberFormat="1" applyFont="1" applyBorder="1" applyAlignment="1">
      <alignment horizontal="center" vertical="center"/>
    </xf>
    <xf numFmtId="180" fontId="9" fillId="0" borderId="94" xfId="1" applyNumberFormat="1" applyFont="1" applyBorder="1" applyAlignment="1">
      <alignment horizontal="center" vertical="center"/>
    </xf>
    <xf numFmtId="177" fontId="9" fillId="0" borderId="53" xfId="1" applyNumberFormat="1" applyFont="1" applyBorder="1" applyAlignment="1">
      <alignment horizontal="center" vertical="center"/>
    </xf>
    <xf numFmtId="0" fontId="9" fillId="0" borderId="114" xfId="1" applyFont="1" applyBorder="1" applyAlignment="1">
      <alignment horizontal="center" vertical="center" shrinkToFit="1"/>
    </xf>
    <xf numFmtId="0" fontId="12" fillId="0" borderId="15" xfId="1" applyFont="1" applyBorder="1" applyAlignment="1">
      <alignment horizontal="center" vertical="center" shrinkToFit="1"/>
    </xf>
    <xf numFmtId="0" fontId="12" fillId="0" borderId="45" xfId="1" applyFont="1" applyBorder="1" applyAlignment="1">
      <alignment horizontal="center" vertical="center" shrinkToFit="1"/>
    </xf>
    <xf numFmtId="0" fontId="9" fillId="2" borderId="30" xfId="0" applyFont="1" applyFill="1" applyBorder="1" applyAlignment="1">
      <alignment horizontal="centerContinuous" vertical="center" shrinkToFit="1"/>
    </xf>
    <xf numFmtId="49" fontId="9" fillId="0" borderId="30" xfId="1" applyNumberFormat="1" applyFont="1" applyBorder="1" applyAlignment="1">
      <alignment horizontal="center" vertical="center" shrinkToFit="1"/>
    </xf>
    <xf numFmtId="0" fontId="14" fillId="0" borderId="122" xfId="1" applyFont="1" applyBorder="1" applyAlignment="1">
      <alignment horizontal="center" vertical="center"/>
    </xf>
    <xf numFmtId="0" fontId="9" fillId="0" borderId="0" xfId="1"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15" fillId="0" borderId="0" xfId="2" applyFont="1" applyAlignment="1">
      <alignment vertical="center"/>
    </xf>
    <xf numFmtId="0" fontId="16" fillId="0" borderId="0" xfId="2" applyFont="1" applyAlignment="1">
      <alignment vertical="center"/>
    </xf>
    <xf numFmtId="0" fontId="9" fillId="0" borderId="3" xfId="1" applyFont="1" applyBorder="1" applyAlignment="1">
      <alignment horizontal="center" vertical="center"/>
    </xf>
    <xf numFmtId="0" fontId="17" fillId="0" borderId="10" xfId="1" applyFont="1" applyBorder="1" applyAlignment="1">
      <alignment horizontal="center" vertical="center"/>
    </xf>
    <xf numFmtId="0" fontId="17" fillId="0" borderId="55" xfId="1" applyFont="1" applyBorder="1" applyAlignment="1">
      <alignment horizontal="center" vertical="center"/>
    </xf>
    <xf numFmtId="178" fontId="9" fillId="0" borderId="6" xfId="1" applyNumberFormat="1" applyFont="1" applyBorder="1" applyAlignment="1">
      <alignment horizontal="center" vertical="center"/>
    </xf>
    <xf numFmtId="178" fontId="9" fillId="0" borderId="130" xfId="1" applyNumberFormat="1" applyFont="1" applyBorder="1" applyAlignment="1">
      <alignment horizontal="center" vertical="center"/>
    </xf>
    <xf numFmtId="178" fontId="9" fillId="0" borderId="14" xfId="1" applyNumberFormat="1" applyFont="1" applyBorder="1" applyAlignment="1">
      <alignment horizontal="center" vertical="center"/>
    </xf>
    <xf numFmtId="178" fontId="9" fillId="0" borderId="49" xfId="1" applyNumberFormat="1" applyFont="1" applyBorder="1" applyAlignment="1">
      <alignment horizontal="center" vertical="center"/>
    </xf>
    <xf numFmtId="178" fontId="9" fillId="0" borderId="13" xfId="1" applyNumberFormat="1" applyFont="1" applyBorder="1" applyAlignment="1">
      <alignment horizontal="center" vertical="center"/>
    </xf>
    <xf numFmtId="178" fontId="9" fillId="0" borderId="101" xfId="1" applyNumberFormat="1" applyFont="1" applyBorder="1" applyAlignment="1">
      <alignment horizontal="center" vertical="center"/>
    </xf>
    <xf numFmtId="178" fontId="9" fillId="0" borderId="105" xfId="1" applyNumberFormat="1" applyFont="1" applyBorder="1" applyAlignment="1">
      <alignment horizontal="center" vertical="center"/>
    </xf>
    <xf numFmtId="178" fontId="9" fillId="0" borderId="0" xfId="1" applyNumberFormat="1" applyFont="1" applyAlignment="1">
      <alignment horizontal="center" vertical="center"/>
    </xf>
    <xf numFmtId="0" fontId="9" fillId="0" borderId="174" xfId="1" applyFont="1" applyBorder="1" applyAlignment="1">
      <alignment horizontal="center" vertical="center"/>
    </xf>
    <xf numFmtId="0" fontId="9" fillId="0" borderId="175" xfId="1" applyFont="1" applyBorder="1" applyAlignment="1">
      <alignment horizontal="center" vertical="center"/>
    </xf>
    <xf numFmtId="179" fontId="9" fillId="0" borderId="176" xfId="1" applyNumberFormat="1" applyFont="1" applyBorder="1" applyAlignment="1">
      <alignment horizontal="center" vertical="center"/>
    </xf>
    <xf numFmtId="1" fontId="9" fillId="0" borderId="177" xfId="0" applyNumberFormat="1" applyFont="1" applyBorder="1" applyAlignment="1">
      <alignment horizontal="center" vertical="center"/>
    </xf>
    <xf numFmtId="1" fontId="9" fillId="0" borderId="178" xfId="0" applyNumberFormat="1" applyFont="1" applyBorder="1" applyAlignment="1">
      <alignment horizontal="center" vertical="center"/>
    </xf>
    <xf numFmtId="178" fontId="9" fillId="0" borderId="176" xfId="1" applyNumberFormat="1" applyFont="1" applyBorder="1" applyAlignment="1">
      <alignment horizontal="center" vertical="center"/>
    </xf>
    <xf numFmtId="178" fontId="9" fillId="0" borderId="179" xfId="1" applyNumberFormat="1" applyFont="1" applyBorder="1" applyAlignment="1">
      <alignment horizontal="center" vertical="center"/>
    </xf>
    <xf numFmtId="0" fontId="9" fillId="0" borderId="180" xfId="1" applyFont="1" applyBorder="1" applyAlignment="1">
      <alignment horizontal="center" vertical="center"/>
    </xf>
    <xf numFmtId="178" fontId="9" fillId="0" borderId="177" xfId="1" applyNumberFormat="1" applyFont="1" applyBorder="1" applyAlignment="1">
      <alignment horizontal="center" vertical="center"/>
    </xf>
    <xf numFmtId="0" fontId="9" fillId="0" borderId="178" xfId="1" applyFont="1" applyBorder="1" applyAlignment="1">
      <alignment horizontal="center" vertical="center"/>
    </xf>
    <xf numFmtId="0" fontId="9" fillId="0" borderId="176" xfId="1" applyFont="1" applyBorder="1" applyAlignment="1">
      <alignment horizontal="center" vertical="center"/>
    </xf>
    <xf numFmtId="49" fontId="9" fillId="0" borderId="176" xfId="1" applyNumberFormat="1" applyFont="1" applyBorder="1" applyAlignment="1">
      <alignment horizontal="center" vertical="center"/>
    </xf>
    <xf numFmtId="178" fontId="9" fillId="0" borderId="181" xfId="1" applyNumberFormat="1" applyFont="1" applyBorder="1" applyAlignment="1">
      <alignment horizontal="center" vertical="center"/>
    </xf>
    <xf numFmtId="178" fontId="9" fillId="0" borderId="178" xfId="1" applyNumberFormat="1" applyFont="1" applyBorder="1" applyAlignment="1">
      <alignment horizontal="center" vertical="center"/>
    </xf>
    <xf numFmtId="180" fontId="9" fillId="0" borderId="179" xfId="1" applyNumberFormat="1" applyFont="1" applyBorder="1" applyAlignment="1">
      <alignment horizontal="center" vertical="center"/>
    </xf>
    <xf numFmtId="180" fontId="9" fillId="0" borderId="182" xfId="1" applyNumberFormat="1" applyFont="1" applyBorder="1" applyAlignment="1">
      <alignment horizontal="center" vertical="center"/>
    </xf>
    <xf numFmtId="179" fontId="9" fillId="0" borderId="183" xfId="1" applyNumberFormat="1" applyFont="1" applyBorder="1" applyAlignment="1">
      <alignment horizontal="center" vertical="center"/>
    </xf>
    <xf numFmtId="180" fontId="9" fillId="0" borderId="181" xfId="1" applyNumberFormat="1" applyFont="1" applyBorder="1" applyAlignment="1">
      <alignment horizontal="center" vertical="center"/>
    </xf>
    <xf numFmtId="180" fontId="9" fillId="0" borderId="184" xfId="1" applyNumberFormat="1" applyFont="1" applyBorder="1" applyAlignment="1">
      <alignment horizontal="center" vertical="center"/>
    </xf>
    <xf numFmtId="180" fontId="9" fillId="0" borderId="177" xfId="1" applyNumberFormat="1" applyFont="1" applyBorder="1" applyAlignment="1">
      <alignment horizontal="center" vertical="center"/>
    </xf>
    <xf numFmtId="180" fontId="9" fillId="0" borderId="185" xfId="1" applyNumberFormat="1" applyFont="1" applyBorder="1" applyAlignment="1">
      <alignment horizontal="center" vertical="center"/>
    </xf>
    <xf numFmtId="177" fontId="9" fillId="0" borderId="181" xfId="1" applyNumberFormat="1" applyFont="1" applyBorder="1" applyAlignment="1">
      <alignment horizontal="center" vertical="center"/>
    </xf>
    <xf numFmtId="177" fontId="9" fillId="0" borderId="184" xfId="1" applyNumberFormat="1" applyFont="1" applyBorder="1" applyAlignment="1">
      <alignment horizontal="center" vertical="center"/>
    </xf>
    <xf numFmtId="177" fontId="9" fillId="0" borderId="180" xfId="1" applyNumberFormat="1" applyFont="1" applyBorder="1" applyAlignment="1">
      <alignment horizontal="center" vertical="center"/>
    </xf>
    <xf numFmtId="0" fontId="9" fillId="0" borderId="176" xfId="1" applyFont="1" applyBorder="1" applyAlignment="1">
      <alignment horizontal="center" vertical="center" shrinkToFit="1"/>
    </xf>
    <xf numFmtId="0" fontId="9" fillId="0" borderId="181" xfId="1" applyFont="1" applyBorder="1" applyAlignment="1">
      <alignment horizontal="center" vertical="center"/>
    </xf>
    <xf numFmtId="0" fontId="9" fillId="0" borderId="186" xfId="1" applyFont="1" applyBorder="1" applyAlignment="1">
      <alignment horizontal="center" vertical="center"/>
    </xf>
    <xf numFmtId="0" fontId="9" fillId="0" borderId="128" xfId="1" applyFont="1" applyBorder="1" applyAlignment="1">
      <alignment horizontal="left" vertical="center"/>
    </xf>
    <xf numFmtId="0" fontId="9" fillId="0" borderId="144" xfId="1" applyFont="1" applyBorder="1" applyAlignment="1">
      <alignment horizontal="left" vertical="center"/>
    </xf>
    <xf numFmtId="0" fontId="9" fillId="0" borderId="95" xfId="1" applyFont="1" applyBorder="1" applyAlignment="1">
      <alignment horizontal="left" vertical="center"/>
    </xf>
    <xf numFmtId="0" fontId="9" fillId="0" borderId="93" xfId="1" applyFont="1" applyBorder="1" applyAlignment="1">
      <alignment horizontal="left" vertical="center"/>
    </xf>
    <xf numFmtId="0" fontId="9" fillId="0" borderId="94" xfId="1" applyFont="1" applyBorder="1" applyAlignment="1">
      <alignment horizontal="left" vertical="center"/>
    </xf>
    <xf numFmtId="179" fontId="9" fillId="0" borderId="0" xfId="1" applyNumberFormat="1" applyFont="1" applyAlignment="1">
      <alignment horizontal="center" vertical="center"/>
    </xf>
    <xf numFmtId="0" fontId="9" fillId="0" borderId="97" xfId="1" applyFont="1" applyBorder="1" applyAlignment="1">
      <alignment horizontal="left" vertical="center"/>
    </xf>
    <xf numFmtId="0" fontId="9" fillId="0" borderId="117" xfId="1" applyFont="1" applyBorder="1" applyAlignment="1">
      <alignment horizontal="left" vertical="center"/>
    </xf>
    <xf numFmtId="0" fontId="9" fillId="0" borderId="156" xfId="1" applyFont="1" applyBorder="1" applyAlignment="1">
      <alignment horizontal="left" vertical="center"/>
    </xf>
    <xf numFmtId="0" fontId="9" fillId="0" borderId="135" xfId="1" applyFont="1" applyBorder="1" applyAlignment="1">
      <alignment horizontal="left" vertical="center"/>
    </xf>
    <xf numFmtId="0" fontId="9" fillId="0" borderId="19" xfId="1" applyFont="1" applyBorder="1" applyAlignment="1">
      <alignment horizontal="center" vertical="center"/>
    </xf>
    <xf numFmtId="0" fontId="9" fillId="0" borderId="20" xfId="1" applyFont="1" applyBorder="1" applyAlignment="1">
      <alignment horizontal="center" vertical="center"/>
    </xf>
    <xf numFmtId="179" fontId="9" fillId="0" borderId="23" xfId="1" applyNumberFormat="1" applyFont="1" applyBorder="1" applyAlignment="1">
      <alignment horizontal="center" vertical="center"/>
    </xf>
    <xf numFmtId="1" fontId="9" fillId="0" borderId="22" xfId="0" applyNumberFormat="1" applyFont="1" applyBorder="1" applyAlignment="1">
      <alignment horizontal="center" vertical="center"/>
    </xf>
    <xf numFmtId="1" fontId="9" fillId="0" borderId="21" xfId="0" applyNumberFormat="1" applyFont="1" applyBorder="1" applyAlignment="1">
      <alignment horizontal="center" vertical="center"/>
    </xf>
    <xf numFmtId="178" fontId="9" fillId="0" borderId="23" xfId="1" applyNumberFormat="1" applyFont="1" applyBorder="1" applyAlignment="1">
      <alignment horizontal="center" vertical="center"/>
    </xf>
    <xf numFmtId="178" fontId="9" fillId="0" borderId="43" xfId="1" applyNumberFormat="1" applyFont="1" applyBorder="1" applyAlignment="1">
      <alignment horizontal="center" vertical="center"/>
    </xf>
    <xf numFmtId="178" fontId="9" fillId="0" borderId="22" xfId="1" applyNumberFormat="1" applyFont="1" applyBorder="1" applyAlignment="1">
      <alignment horizontal="center" vertical="center"/>
    </xf>
    <xf numFmtId="0" fontId="9" fillId="0" borderId="23" xfId="1" applyFont="1" applyBorder="1" applyAlignment="1">
      <alignment horizontal="center" vertical="center" shrinkToFit="1"/>
    </xf>
    <xf numFmtId="49" fontId="9" fillId="0" borderId="23" xfId="1" applyNumberFormat="1" applyFont="1" applyBorder="1" applyAlignment="1">
      <alignment horizontal="center" vertical="center"/>
    </xf>
    <xf numFmtId="178" fontId="9" fillId="0" borderId="172" xfId="1" applyNumberFormat="1" applyFont="1" applyBorder="1" applyAlignment="1">
      <alignment horizontal="center" vertical="center"/>
    </xf>
    <xf numFmtId="178" fontId="9" fillId="0" borderId="21" xfId="1" applyNumberFormat="1" applyFont="1" applyBorder="1" applyAlignment="1">
      <alignment horizontal="center" vertical="center"/>
    </xf>
    <xf numFmtId="180" fontId="9" fillId="0" borderId="145" xfId="1" applyNumberFormat="1" applyFont="1" applyBorder="1" applyAlignment="1">
      <alignment horizontal="center" vertical="center"/>
    </xf>
    <xf numFmtId="180" fontId="9" fillId="0" borderId="187" xfId="1" applyNumberFormat="1" applyFont="1" applyBorder="1" applyAlignment="1">
      <alignment horizontal="center" vertical="center"/>
    </xf>
    <xf numFmtId="179" fontId="9" fillId="0" borderId="27" xfId="1" applyNumberFormat="1" applyFont="1" applyBorder="1" applyAlignment="1">
      <alignment horizontal="center" vertical="center"/>
    </xf>
    <xf numFmtId="0" fontId="9" fillId="0" borderId="188" xfId="1" applyFont="1" applyBorder="1" applyAlignment="1">
      <alignment horizontal="center" vertical="center"/>
    </xf>
    <xf numFmtId="0" fontId="9" fillId="0" borderId="189" xfId="1" applyFont="1" applyBorder="1" applyAlignment="1">
      <alignment horizontal="center" vertical="center"/>
    </xf>
    <xf numFmtId="180" fontId="9" fillId="0" borderId="41" xfId="1" applyNumberFormat="1" applyFont="1" applyBorder="1" applyAlignment="1">
      <alignment horizontal="center" vertical="center"/>
    </xf>
    <xf numFmtId="180" fontId="9" fillId="0" borderId="26" xfId="1" applyNumberFormat="1" applyFont="1" applyBorder="1" applyAlignment="1">
      <alignment horizontal="center" vertical="center"/>
    </xf>
    <xf numFmtId="180" fontId="9" fillId="0" borderId="190" xfId="1" applyNumberFormat="1" applyFont="1" applyBorder="1" applyAlignment="1">
      <alignment horizontal="center" vertical="center"/>
    </xf>
    <xf numFmtId="177" fontId="9" fillId="0" borderId="41" xfId="1" applyNumberFormat="1" applyFont="1" applyBorder="1" applyAlignment="1">
      <alignment horizontal="center" vertical="center"/>
    </xf>
    <xf numFmtId="177" fontId="9" fillId="0" borderId="26" xfId="1" applyNumberFormat="1" applyFont="1" applyBorder="1" applyAlignment="1">
      <alignment horizontal="center" vertical="center"/>
    </xf>
    <xf numFmtId="0" fontId="9" fillId="0" borderId="191" xfId="1" applyFont="1" applyBorder="1" applyAlignment="1">
      <alignment horizontal="center" vertical="center" shrinkToFit="1"/>
    </xf>
    <xf numFmtId="0" fontId="9" fillId="0" borderId="25" xfId="1" applyFont="1" applyBorder="1" applyAlignment="1">
      <alignment horizontal="center" vertical="center"/>
    </xf>
    <xf numFmtId="0" fontId="9" fillId="0" borderId="190" xfId="1" applyFont="1" applyBorder="1" applyAlignment="1">
      <alignment horizontal="center" vertical="center"/>
    </xf>
    <xf numFmtId="0" fontId="9" fillId="0" borderId="192" xfId="1" applyFont="1" applyBorder="1" applyAlignment="1">
      <alignment horizontal="left" vertical="center"/>
    </xf>
    <xf numFmtId="0" fontId="9" fillId="0" borderId="193" xfId="1" applyFont="1" applyBorder="1" applyAlignment="1">
      <alignment horizontal="left" vertical="center"/>
    </xf>
    <xf numFmtId="0" fontId="9" fillId="0" borderId="0" xfId="0" applyFont="1" applyAlignment="1">
      <alignment horizontal="centerContinuous" vertical="center"/>
    </xf>
    <xf numFmtId="179" fontId="9" fillId="0" borderId="43" xfId="1" applyNumberFormat="1" applyFont="1" applyBorder="1" applyAlignment="1">
      <alignment horizontal="center" vertical="center"/>
    </xf>
    <xf numFmtId="179" fontId="9" fillId="0" borderId="173" xfId="1" applyNumberFormat="1" applyFont="1" applyBorder="1" applyAlignment="1">
      <alignment horizontal="center" vertical="center"/>
    </xf>
    <xf numFmtId="0" fontId="9" fillId="0" borderId="43" xfId="1" applyFont="1" applyBorder="1" applyAlignment="1">
      <alignment horizontal="center" vertical="center" shrinkToFit="1"/>
    </xf>
    <xf numFmtId="178" fontId="9" fillId="0" borderId="172" xfId="1" applyNumberFormat="1" applyFont="1" applyBorder="1" applyAlignment="1">
      <alignment vertical="center"/>
    </xf>
    <xf numFmtId="178" fontId="9" fillId="0" borderId="21" xfId="1" applyNumberFormat="1" applyFont="1" applyBorder="1" applyAlignment="1">
      <alignment vertical="center"/>
    </xf>
    <xf numFmtId="49" fontId="9" fillId="0" borderId="25" xfId="1" applyNumberFormat="1" applyFont="1" applyBorder="1" applyAlignment="1">
      <alignment horizontal="center" vertical="center"/>
    </xf>
    <xf numFmtId="180" fontId="9" fillId="0" borderId="42" xfId="1" applyNumberFormat="1" applyFont="1" applyBorder="1" applyAlignment="1">
      <alignment horizontal="center" vertical="center"/>
    </xf>
    <xf numFmtId="180" fontId="9" fillId="0" borderId="193" xfId="1" applyNumberFormat="1" applyFont="1" applyBorder="1" applyAlignment="1">
      <alignment horizontal="center" vertical="center"/>
    </xf>
    <xf numFmtId="177" fontId="9" fillId="0" borderId="24" xfId="1" applyNumberFormat="1" applyFont="1" applyBorder="1" applyAlignment="1">
      <alignment horizontal="center" vertical="center"/>
    </xf>
    <xf numFmtId="177" fontId="9" fillId="0" borderId="25" xfId="1" applyNumberFormat="1" applyFont="1" applyBorder="1" applyAlignment="1">
      <alignment horizontal="center" vertical="center"/>
    </xf>
    <xf numFmtId="0" fontId="9" fillId="0" borderId="9" xfId="0" applyFont="1" applyBorder="1" applyAlignment="1">
      <alignment horizontal="center" vertical="center"/>
    </xf>
    <xf numFmtId="0" fontId="9" fillId="0" borderId="1" xfId="1" applyFont="1" applyBorder="1" applyAlignment="1">
      <alignment horizontal="left" vertical="center"/>
    </xf>
    <xf numFmtId="0" fontId="9" fillId="0" borderId="129" xfId="1" applyFont="1" applyBorder="1" applyAlignment="1">
      <alignment horizontal="left" vertical="center"/>
    </xf>
    <xf numFmtId="0" fontId="9" fillId="0" borderId="48" xfId="1" applyFont="1" applyBorder="1" applyAlignment="1">
      <alignment horizontal="left" vertical="center"/>
    </xf>
    <xf numFmtId="0" fontId="9" fillId="0" borderId="9" xfId="1" applyFont="1" applyBorder="1" applyAlignment="1">
      <alignment horizontal="left" vertical="center"/>
    </xf>
    <xf numFmtId="0" fontId="9" fillId="0" borderId="194" xfId="1" applyFont="1" applyBorder="1" applyAlignment="1">
      <alignment horizontal="left" vertical="center"/>
    </xf>
    <xf numFmtId="0" fontId="9" fillId="0" borderId="104" xfId="1" applyFont="1" applyBorder="1" applyAlignment="1">
      <alignment horizontal="left" vertical="center"/>
    </xf>
    <xf numFmtId="0" fontId="9" fillId="0" borderId="195" xfId="1" applyFont="1" applyBorder="1" applyAlignment="1">
      <alignment horizontal="left" vertical="center"/>
    </xf>
    <xf numFmtId="0" fontId="9" fillId="0" borderId="100" xfId="1" applyFont="1" applyBorder="1" applyAlignment="1">
      <alignment horizontal="left" vertical="center"/>
    </xf>
    <xf numFmtId="0" fontId="9" fillId="0" borderId="137" xfId="1" applyFont="1" applyBorder="1" applyAlignment="1">
      <alignment horizontal="left" vertical="center"/>
    </xf>
    <xf numFmtId="0" fontId="9" fillId="0" borderId="174" xfId="1" applyFont="1" applyBorder="1" applyAlignment="1">
      <alignment horizontal="left" vertical="center"/>
    </xf>
    <xf numFmtId="0" fontId="9" fillId="0" borderId="196" xfId="1" applyFont="1" applyBorder="1" applyAlignment="1">
      <alignment horizontal="left" vertical="center"/>
    </xf>
    <xf numFmtId="0" fontId="9" fillId="0" borderId="197" xfId="1" applyFont="1" applyBorder="1" applyAlignment="1">
      <alignment horizontal="left" vertical="center"/>
    </xf>
    <xf numFmtId="0" fontId="9" fillId="0" borderId="6" xfId="0" applyFont="1" applyBorder="1" applyAlignment="1">
      <alignment horizontal="center" vertical="center" wrapText="1"/>
    </xf>
    <xf numFmtId="0" fontId="9" fillId="0" borderId="2" xfId="1" applyFont="1" applyBorder="1" applyAlignment="1">
      <alignment horizontal="center" vertical="center" wrapText="1"/>
    </xf>
    <xf numFmtId="0" fontId="9" fillId="0" borderId="6" xfId="0" applyFont="1" applyBorder="1" applyAlignment="1">
      <alignment horizontal="center" vertical="center"/>
    </xf>
    <xf numFmtId="0" fontId="9" fillId="0" borderId="204" xfId="0" applyFont="1" applyBorder="1" applyAlignment="1">
      <alignment horizontal="center" vertical="center"/>
    </xf>
    <xf numFmtId="0" fontId="9" fillId="0" borderId="205" xfId="0" applyFont="1" applyBorder="1" applyAlignment="1">
      <alignment horizontal="center" vertical="center"/>
    </xf>
    <xf numFmtId="0" fontId="9" fillId="0" borderId="13" xfId="0" applyFont="1" applyBorder="1" applyAlignment="1">
      <alignment horizontal="center" vertical="center" wrapText="1"/>
    </xf>
    <xf numFmtId="0" fontId="9" fillId="0" borderId="10" xfId="1" applyFont="1" applyBorder="1" applyAlignment="1">
      <alignment horizontal="center" vertical="center" wrapText="1"/>
    </xf>
    <xf numFmtId="0" fontId="9" fillId="0" borderId="13" xfId="0" applyFont="1" applyBorder="1" applyAlignment="1">
      <alignment horizontal="center" vertical="center"/>
    </xf>
    <xf numFmtId="0" fontId="9" fillId="0" borderId="72" xfId="0" applyFont="1" applyBorder="1" applyAlignment="1">
      <alignment horizontal="centerContinuous" vertical="center" wrapText="1"/>
    </xf>
    <xf numFmtId="0" fontId="9" fillId="0" borderId="38" xfId="0" applyFont="1" applyBorder="1" applyAlignment="1">
      <alignment horizontal="centerContinuous" vertical="center" wrapText="1"/>
    </xf>
    <xf numFmtId="0" fontId="9" fillId="0" borderId="172" xfId="0" applyFont="1" applyBorder="1" applyAlignment="1">
      <alignment horizontal="center" vertical="center"/>
    </xf>
    <xf numFmtId="0" fontId="9" fillId="0" borderId="173" xfId="0" applyFont="1" applyBorder="1" applyAlignment="1">
      <alignment horizontal="center" vertical="center"/>
    </xf>
    <xf numFmtId="0" fontId="9" fillId="0" borderId="187" xfId="0" applyFont="1" applyBorder="1" applyAlignment="1">
      <alignment horizontal="center" vertical="center"/>
    </xf>
    <xf numFmtId="0" fontId="9" fillId="0" borderId="23" xfId="0" applyFont="1" applyBorder="1" applyAlignment="1">
      <alignment horizontal="center" vertical="center" wrapText="1"/>
    </xf>
    <xf numFmtId="0" fontId="8" fillId="0" borderId="0" xfId="1" applyFont="1" applyAlignment="1">
      <alignment horizontal="left" vertical="center"/>
    </xf>
    <xf numFmtId="181" fontId="9" fillId="0" borderId="0" xfId="0" applyNumberFormat="1" applyFont="1" applyAlignment="1">
      <alignment horizontal="left" vertical="center"/>
    </xf>
    <xf numFmtId="0" fontId="9" fillId="0" borderId="172" xfId="0" applyFont="1" applyBorder="1" applyAlignment="1">
      <alignment horizontal="center" vertical="center" shrinkToFit="1"/>
    </xf>
    <xf numFmtId="0" fontId="4" fillId="0" borderId="0" xfId="2" applyAlignment="1">
      <alignment horizontal="center" vertical="center"/>
    </xf>
    <xf numFmtId="0" fontId="8" fillId="0" borderId="172" xfId="0" applyFont="1" applyBorder="1" applyAlignment="1">
      <alignment horizontal="center" vertical="center" shrinkToFit="1"/>
    </xf>
    <xf numFmtId="0" fontId="8" fillId="0" borderId="22"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92" xfId="0" applyFont="1" applyBorder="1" applyAlignment="1">
      <alignment horizontal="center" vertical="center" shrinkToFit="1"/>
    </xf>
    <xf numFmtId="0" fontId="8" fillId="0" borderId="9" xfId="0" applyFont="1" applyBorder="1" applyAlignment="1">
      <alignment horizontal="center" vertical="center"/>
    </xf>
    <xf numFmtId="0" fontId="8" fillId="0" borderId="15" xfId="0" applyFont="1" applyBorder="1" applyAlignment="1">
      <alignment horizontal="centerContinuous" vertical="center" wrapText="1"/>
    </xf>
    <xf numFmtId="0" fontId="8" fillId="0" borderId="72" xfId="0" applyFont="1" applyBorder="1" applyAlignment="1">
      <alignment horizontal="centerContinuous" vertical="center" wrapText="1"/>
    </xf>
    <xf numFmtId="0" fontId="8" fillId="0" borderId="38" xfId="0" applyFont="1" applyBorder="1" applyAlignment="1">
      <alignment horizontal="centerContinuous" vertical="center" wrapText="1"/>
    </xf>
    <xf numFmtId="0" fontId="8" fillId="0" borderId="72" xfId="0" applyFont="1" applyBorder="1" applyAlignment="1">
      <alignment horizontal="centerContinuous" vertical="center" shrinkToFit="1"/>
    </xf>
    <xf numFmtId="0" fontId="8" fillId="0" borderId="38" xfId="0" applyFont="1" applyBorder="1" applyAlignment="1">
      <alignment horizontal="centerContinuous" vertical="center" shrinkToFit="1"/>
    </xf>
    <xf numFmtId="0" fontId="8" fillId="0" borderId="15" xfId="0" applyFont="1" applyBorder="1" applyAlignment="1">
      <alignment horizontal="centerContinuous" vertical="center"/>
    </xf>
    <xf numFmtId="0" fontId="8" fillId="0" borderId="2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0" fontId="8" fillId="0" borderId="13" xfId="0" applyFont="1" applyBorder="1" applyAlignment="1">
      <alignment horizontal="center" vertical="center"/>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9" fillId="0" borderId="206" xfId="0" applyFont="1" applyBorder="1" applyAlignment="1">
      <alignment horizontal="center" vertical="center" shrinkToFit="1"/>
    </xf>
    <xf numFmtId="0" fontId="9" fillId="0" borderId="207" xfId="0" applyFont="1" applyBorder="1" applyAlignment="1">
      <alignment horizontal="center" vertical="center" shrinkToFit="1"/>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0" xfId="1" quotePrefix="1" applyFont="1" applyAlignment="1">
      <alignment horizontal="right" vertical="center"/>
    </xf>
    <xf numFmtId="0" fontId="8" fillId="0" borderId="0" xfId="1" quotePrefix="1" applyFont="1" applyAlignment="1">
      <alignment horizontal="right" vertical="center"/>
    </xf>
    <xf numFmtId="0" fontId="8" fillId="0" borderId="0" xfId="1" applyFont="1" applyAlignment="1">
      <alignment horizontal="center" vertical="center"/>
    </xf>
    <xf numFmtId="0" fontId="8" fillId="0" borderId="23" xfId="0" applyFont="1" applyBorder="1" applyAlignment="1">
      <alignment horizontal="center" vertical="center" wrapText="1" shrinkToFit="1"/>
    </xf>
    <xf numFmtId="0" fontId="9" fillId="0" borderId="15" xfId="0" applyFont="1" applyBorder="1" applyAlignment="1">
      <alignment horizontal="centerContinuous" vertical="center" wrapText="1"/>
    </xf>
    <xf numFmtId="0" fontId="9" fillId="0" borderId="72" xfId="0" applyFont="1" applyBorder="1" applyAlignment="1">
      <alignment horizontal="centerContinuous" vertical="center" shrinkToFit="1"/>
    </xf>
    <xf numFmtId="0" fontId="9" fillId="0" borderId="38" xfId="0" applyFont="1" applyBorder="1" applyAlignment="1">
      <alignment horizontal="centerContinuous" vertical="center" shrinkToFit="1"/>
    </xf>
    <xf numFmtId="0" fontId="9" fillId="0" borderId="15" xfId="0" applyFont="1" applyBorder="1" applyAlignment="1">
      <alignment horizontal="centerContinuous" vertical="center"/>
    </xf>
    <xf numFmtId="0" fontId="9" fillId="0" borderId="4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73" xfId="0" applyFont="1" applyBorder="1" applyAlignment="1">
      <alignment horizontal="center" vertical="center" wrapText="1"/>
    </xf>
    <xf numFmtId="0" fontId="9" fillId="0" borderId="92" xfId="0" applyFont="1" applyBorder="1" applyAlignment="1">
      <alignment horizontal="center" vertical="center" shrinkToFit="1"/>
    </xf>
    <xf numFmtId="0" fontId="9" fillId="0" borderId="0" xfId="1" applyFont="1" applyAlignment="1">
      <alignment horizontal="left" vertical="center"/>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182" fontId="9" fillId="0" borderId="6" xfId="0" applyNumberFormat="1" applyFont="1" applyBorder="1" applyAlignment="1">
      <alignment horizontal="center" vertical="center" wrapText="1"/>
    </xf>
    <xf numFmtId="182" fontId="9" fillId="0" borderId="13" xfId="0" applyNumberFormat="1" applyFont="1" applyBorder="1" applyAlignment="1">
      <alignment horizontal="center" vertical="center" wrapText="1"/>
    </xf>
    <xf numFmtId="182" fontId="9" fillId="0" borderId="23" xfId="0" applyNumberFormat="1" applyFont="1" applyBorder="1" applyAlignment="1">
      <alignment horizontal="center" vertical="center" wrapText="1"/>
    </xf>
    <xf numFmtId="0" fontId="9" fillId="0" borderId="198" xfId="0" applyFont="1" applyBorder="1" applyAlignment="1">
      <alignment horizontal="center" vertical="center" shrinkToFit="1"/>
    </xf>
    <xf numFmtId="0" fontId="9" fillId="0" borderId="199" xfId="0" applyFont="1" applyBorder="1" applyAlignment="1">
      <alignment horizontal="center" vertical="center" shrinkToFit="1"/>
    </xf>
    <xf numFmtId="0" fontId="9" fillId="0" borderId="200" xfId="0" applyFont="1" applyBorder="1" applyAlignment="1">
      <alignment horizontal="center" vertical="center" shrinkToFit="1"/>
    </xf>
    <xf numFmtId="1" fontId="9" fillId="0" borderId="146" xfId="0" applyNumberFormat="1" applyFont="1" applyBorder="1" applyAlignment="1">
      <alignment horizontal="center" vertical="center"/>
    </xf>
    <xf numFmtId="1" fontId="9" fillId="0" borderId="36" xfId="0" applyNumberFormat="1" applyFont="1" applyBorder="1" applyAlignment="1">
      <alignment horizontal="center" vertical="center"/>
    </xf>
    <xf numFmtId="1" fontId="9" fillId="0" borderId="3" xfId="0" applyNumberFormat="1" applyFont="1" applyBorder="1" applyAlignment="1">
      <alignment horizontal="center" vertical="center"/>
    </xf>
    <xf numFmtId="1" fontId="9" fillId="0" borderId="121" xfId="0" applyNumberFormat="1" applyFont="1" applyBorder="1" applyAlignment="1">
      <alignment horizontal="center" vertical="center"/>
    </xf>
    <xf numFmtId="1" fontId="9" fillId="0" borderId="0" xfId="0" applyNumberFormat="1" applyFont="1" applyAlignment="1">
      <alignment horizontal="center" vertical="center"/>
    </xf>
    <xf numFmtId="1" fontId="9" fillId="0" borderId="11" xfId="0" applyNumberFormat="1" applyFont="1" applyBorder="1" applyAlignment="1">
      <alignment horizontal="center" vertical="center"/>
    </xf>
    <xf numFmtId="0" fontId="8" fillId="0" borderId="166" xfId="0" applyFont="1" applyBorder="1" applyAlignment="1">
      <alignment horizontal="center" vertical="center" shrinkToFit="1"/>
    </xf>
    <xf numFmtId="0" fontId="8" fillId="0" borderId="167" xfId="0" applyFont="1" applyBorder="1" applyAlignment="1">
      <alignment horizontal="center" vertical="center" shrinkToFit="1"/>
    </xf>
    <xf numFmtId="0" fontId="8" fillId="0" borderId="168" xfId="0" applyFont="1" applyBorder="1" applyAlignment="1">
      <alignment horizontal="center" vertical="center" shrinkToFit="1"/>
    </xf>
    <xf numFmtId="0" fontId="8" fillId="0" borderId="169" xfId="0" applyFont="1" applyBorder="1" applyAlignment="1">
      <alignment horizontal="center" vertical="center" shrinkToFit="1"/>
    </xf>
    <xf numFmtId="0" fontId="8" fillId="0" borderId="170" xfId="0" applyFont="1" applyBorder="1" applyAlignment="1">
      <alignment horizontal="center" vertical="center" shrinkToFit="1"/>
    </xf>
    <xf numFmtId="0" fontId="8" fillId="0" borderId="171" xfId="0" applyFont="1" applyBorder="1" applyAlignment="1">
      <alignment horizontal="center" vertical="center" shrinkToFit="1"/>
    </xf>
    <xf numFmtId="1" fontId="9" fillId="2" borderId="30" xfId="0" applyNumberFormat="1" applyFont="1" applyFill="1" applyBorder="1" applyAlignment="1">
      <alignment horizontal="center" vertical="center"/>
    </xf>
    <xf numFmtId="0" fontId="9" fillId="2" borderId="30" xfId="1" applyFont="1" applyFill="1" applyBorder="1" applyAlignment="1">
      <alignment horizontal="center" vertical="center"/>
    </xf>
    <xf numFmtId="176" fontId="9" fillId="2" borderId="30" xfId="0" applyNumberFormat="1" applyFont="1" applyFill="1" applyBorder="1" applyAlignment="1">
      <alignment horizontal="center" vertical="center"/>
    </xf>
    <xf numFmtId="0" fontId="9" fillId="0" borderId="145" xfId="0" applyFont="1" applyBorder="1" applyAlignment="1">
      <alignment horizontal="center" vertical="center" wrapText="1"/>
    </xf>
    <xf numFmtId="0" fontId="9" fillId="0" borderId="43" xfId="0" applyFont="1" applyBorder="1" applyAlignment="1">
      <alignment horizontal="center" vertical="center"/>
    </xf>
    <xf numFmtId="0" fontId="9" fillId="0" borderId="21" xfId="0" applyFont="1" applyBorder="1" applyAlignment="1">
      <alignment horizontal="center" vertical="center"/>
    </xf>
    <xf numFmtId="0" fontId="9" fillId="0" borderId="15" xfId="1" applyFont="1" applyBorder="1" applyAlignment="1">
      <alignment horizontal="center" vertical="center"/>
    </xf>
    <xf numFmtId="0" fontId="9" fillId="0" borderId="38" xfId="1" applyFont="1" applyBorder="1" applyAlignment="1">
      <alignment horizontal="center" vertical="center"/>
    </xf>
    <xf numFmtId="0" fontId="9" fillId="0" borderId="155" xfId="1" applyFont="1" applyBorder="1" applyAlignment="1">
      <alignment horizontal="center" vertical="center"/>
    </xf>
    <xf numFmtId="0" fontId="9" fillId="0" borderId="7" xfId="1" applyFont="1" applyBorder="1" applyAlignment="1">
      <alignment horizontal="center" vertical="center"/>
    </xf>
    <xf numFmtId="0" fontId="9" fillId="0" borderId="35" xfId="1" applyFont="1" applyBorder="1" applyAlignment="1">
      <alignment horizontal="center" vertical="center"/>
    </xf>
    <xf numFmtId="0" fontId="8" fillId="0" borderId="201" xfId="0" applyFont="1" applyBorder="1" applyAlignment="1">
      <alignment horizontal="center" vertical="center" shrinkToFit="1"/>
    </xf>
    <xf numFmtId="0" fontId="8" fillId="0" borderId="202" xfId="0" applyFont="1" applyBorder="1" applyAlignment="1">
      <alignment horizontal="center" vertical="center" shrinkToFit="1"/>
    </xf>
    <xf numFmtId="0" fontId="8" fillId="0" borderId="203" xfId="0" applyFont="1" applyBorder="1" applyAlignment="1">
      <alignment horizontal="center" vertical="center" shrinkToFit="1"/>
    </xf>
    <xf numFmtId="1" fontId="9" fillId="0" borderId="6" xfId="0" applyNumberFormat="1" applyFont="1" applyBorder="1" applyAlignment="1">
      <alignment horizontal="center" vertical="center" wrapText="1"/>
    </xf>
    <xf numFmtId="1" fontId="9" fillId="0" borderId="13" xfId="0" applyNumberFormat="1" applyFont="1" applyBorder="1" applyAlignment="1">
      <alignment horizontal="center" vertical="center" wrapText="1"/>
    </xf>
    <xf numFmtId="1" fontId="9" fillId="0" borderId="23" xfId="0" applyNumberFormat="1" applyFont="1" applyBorder="1" applyAlignment="1">
      <alignment horizontal="center" vertical="center" wrapText="1"/>
    </xf>
    <xf numFmtId="0" fontId="9" fillId="0" borderId="8" xfId="1" applyFont="1" applyBorder="1" applyAlignment="1">
      <alignment horizontal="center" vertical="center"/>
    </xf>
    <xf numFmtId="0" fontId="9" fillId="0" borderId="14" xfId="1" applyFont="1" applyBorder="1" applyAlignment="1">
      <alignment horizontal="center" vertical="center"/>
    </xf>
    <xf numFmtId="0" fontId="9" fillId="0" borderId="23" xfId="1" applyFont="1" applyBorder="1" applyAlignment="1">
      <alignment horizontal="center" vertical="center"/>
    </xf>
    <xf numFmtId="0" fontId="9" fillId="0" borderId="143" xfId="1" applyFont="1" applyBorder="1" applyAlignment="1">
      <alignment horizontal="center" vertical="center" wrapText="1"/>
    </xf>
    <xf numFmtId="0" fontId="9" fillId="0" borderId="27" xfId="1" applyFont="1" applyBorder="1" applyAlignment="1">
      <alignment horizontal="center" vertical="center" wrapText="1"/>
    </xf>
    <xf numFmtId="0" fontId="9" fillId="0" borderId="166" xfId="0" applyFont="1" applyBorder="1" applyAlignment="1">
      <alignment horizontal="center" vertical="center" shrinkToFit="1"/>
    </xf>
    <xf numFmtId="0" fontId="9" fillId="0" borderId="167" xfId="0" applyFont="1" applyBorder="1" applyAlignment="1">
      <alignment horizontal="center" vertical="center" shrinkToFit="1"/>
    </xf>
    <xf numFmtId="0" fontId="9" fillId="0" borderId="168" xfId="0" applyFont="1" applyBorder="1" applyAlignment="1">
      <alignment horizontal="center" vertical="center" shrinkToFit="1"/>
    </xf>
    <xf numFmtId="0" fontId="9" fillId="0" borderId="169" xfId="0" applyFont="1" applyBorder="1" applyAlignment="1">
      <alignment horizontal="center" vertical="center" shrinkToFit="1"/>
    </xf>
    <xf numFmtId="0" fontId="9" fillId="0" borderId="170" xfId="0" applyFont="1" applyBorder="1" applyAlignment="1">
      <alignment horizontal="center" vertical="center" shrinkToFit="1"/>
    </xf>
    <xf numFmtId="0" fontId="9" fillId="0" borderId="171" xfId="0" applyFont="1" applyBorder="1" applyAlignment="1">
      <alignment horizontal="center" vertical="center" shrinkToFit="1"/>
    </xf>
    <xf numFmtId="0" fontId="9" fillId="0" borderId="201" xfId="0" applyFont="1" applyBorder="1" applyAlignment="1">
      <alignment horizontal="center" vertical="center" shrinkToFit="1"/>
    </xf>
    <xf numFmtId="0" fontId="9" fillId="0" borderId="202" xfId="0" applyFont="1" applyBorder="1" applyAlignment="1">
      <alignment horizontal="center" vertical="center" shrinkToFit="1"/>
    </xf>
    <xf numFmtId="0" fontId="9" fillId="0" borderId="203" xfId="0" applyFont="1" applyBorder="1" applyAlignment="1">
      <alignment horizontal="center" vertical="center" shrinkToFit="1"/>
    </xf>
    <xf numFmtId="177" fontId="9" fillId="0" borderId="81" xfId="1" applyNumberFormat="1" applyFont="1" applyBorder="1" applyAlignment="1">
      <alignment horizontal="center" vertical="center"/>
    </xf>
    <xf numFmtId="180" fontId="9" fillId="0" borderId="30" xfId="1" applyNumberFormat="1" applyFont="1" applyBorder="1" applyAlignment="1">
      <alignment horizontal="center" vertical="center"/>
    </xf>
    <xf numFmtId="177" fontId="9" fillId="0" borderId="31" xfId="1" applyNumberFormat="1" applyFont="1" applyBorder="1" applyAlignment="1">
      <alignment horizontal="center" vertical="center"/>
    </xf>
    <xf numFmtId="180" fontId="9" fillId="0" borderId="208" xfId="1" applyNumberFormat="1" applyFont="1" applyBorder="1" applyAlignment="1">
      <alignment horizontal="center" vertical="center"/>
    </xf>
    <xf numFmtId="0" fontId="14" fillId="0" borderId="138" xfId="1" applyFont="1" applyBorder="1" applyAlignment="1">
      <alignment horizontal="center" vertical="center"/>
    </xf>
  </cellXfs>
  <cellStyles count="3">
    <cellStyle name="標準" xfId="0" builtinId="0"/>
    <cellStyle name="標準 2 3" xfId="2" xr:uid="{D47A63AA-589C-4DFE-B8DA-6C5C5D3952F3}"/>
    <cellStyle name="標準_佐武送付981022.xls"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95F6F-486A-4D54-8ABC-074EB16B1CA1}">
  <sheetPr>
    <tabColor rgb="FFFF0000"/>
  </sheetPr>
  <dimension ref="A1:E7"/>
  <sheetViews>
    <sheetView workbookViewId="0">
      <selection sqref="A1:A3"/>
    </sheetView>
  </sheetViews>
  <sheetFormatPr defaultColWidth="7" defaultRowHeight="15.75"/>
  <cols>
    <col min="1" max="1" width="100.75" style="380" customWidth="1"/>
    <col min="2" max="12" width="7" style="1"/>
    <col min="13" max="13" width="5.25" style="1" customWidth="1"/>
    <col min="14" max="41" width="7" style="1"/>
    <col min="42" max="44" width="15.625" style="1" customWidth="1"/>
    <col min="45" max="16384" width="7" style="1"/>
  </cols>
  <sheetData>
    <row r="1" spans="1:5" ht="72" thickBot="1">
      <c r="A1" s="2" t="s">
        <v>46</v>
      </c>
    </row>
    <row r="2" spans="1:5">
      <c r="E2" s="497"/>
    </row>
    <row r="7" spans="1:5" ht="15">
      <c r="A7" s="379"/>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A89"/>
  <sheetViews>
    <sheetView tabSelected="1" zoomScale="91" zoomScaleNormal="91" workbookViewId="0">
      <selection activeCell="AA25" sqref="AA25"/>
    </sheetView>
  </sheetViews>
  <sheetFormatPr defaultColWidth="10.625" defaultRowHeight="17.100000000000001" customHeight="1"/>
  <cols>
    <col min="1" max="1" width="10.5" style="228" bestFit="1" customWidth="1"/>
    <col min="2" max="2" width="9.25" style="229" bestFit="1" customWidth="1"/>
    <col min="3" max="3" width="8.875" style="229" bestFit="1" customWidth="1"/>
    <col min="4" max="4" width="5.25" style="229" bestFit="1" customWidth="1"/>
    <col min="5" max="5" width="4.375" style="229" bestFit="1" customWidth="1"/>
    <col min="6" max="6" width="4.625" style="229" bestFit="1" customWidth="1"/>
    <col min="7" max="7" width="7" style="229" bestFit="1" customWidth="1"/>
    <col min="8" max="8" width="4.25" style="229" customWidth="1"/>
    <col min="9" max="9" width="3" style="229" bestFit="1" customWidth="1"/>
    <col min="10" max="10" width="4.25" style="229" bestFit="1" customWidth="1"/>
    <col min="11" max="11" width="8" style="235" customWidth="1"/>
    <col min="12" max="12" width="12.625" style="235" bestFit="1" customWidth="1"/>
    <col min="13" max="13" width="5.25" style="229" customWidth="1"/>
    <col min="14" max="14" width="5" style="229" bestFit="1" customWidth="1"/>
    <col min="15" max="15" width="5.25" style="229" bestFit="1" customWidth="1"/>
    <col min="16" max="17" width="8.5" style="229" customWidth="1"/>
    <col min="18" max="18" width="6.125" style="229" bestFit="1" customWidth="1"/>
    <col min="19" max="19" width="10.25" style="229" bestFit="1" customWidth="1"/>
    <col min="20" max="20" width="13.375" style="229" bestFit="1" customWidth="1"/>
    <col min="21" max="21" width="9.375" style="229" bestFit="1" customWidth="1"/>
    <col min="22" max="30" width="5.125" style="229" customWidth="1"/>
    <col min="31" max="31" width="16.125" style="229" bestFit="1" customWidth="1"/>
    <col min="32" max="40" width="5.25" style="229" customWidth="1"/>
    <col min="41" max="41" width="10.75" style="235" customWidth="1"/>
    <col min="42" max="44" width="15.625" style="229" customWidth="1"/>
    <col min="45" max="45" width="57.375" style="229" customWidth="1"/>
    <col min="46" max="16384" width="10.625" style="153"/>
  </cols>
  <sheetData>
    <row r="1" spans="1:131" s="377" customFormat="1" ht="15.75" customHeight="1">
      <c r="A1" s="534" t="s">
        <v>344</v>
      </c>
      <c r="B1" s="537" t="s">
        <v>256</v>
      </c>
      <c r="C1" s="540" t="s">
        <v>345</v>
      </c>
      <c r="D1" s="543" t="s">
        <v>346</v>
      </c>
      <c r="E1" s="544"/>
      <c r="F1" s="545"/>
      <c r="G1" s="480" t="s">
        <v>315</v>
      </c>
      <c r="H1" s="546" t="s">
        <v>317</v>
      </c>
      <c r="I1" s="547"/>
      <c r="J1" s="547"/>
      <c r="K1" s="548"/>
      <c r="L1" s="572" t="s">
        <v>318</v>
      </c>
      <c r="M1" s="566" t="s">
        <v>319</v>
      </c>
      <c r="N1" s="567"/>
      <c r="O1" s="568"/>
      <c r="P1" s="566" t="s">
        <v>320</v>
      </c>
      <c r="Q1" s="567"/>
      <c r="R1" s="575"/>
      <c r="S1" s="481" t="s">
        <v>323</v>
      </c>
      <c r="T1" s="512" t="s">
        <v>258</v>
      </c>
      <c r="U1" s="513" t="s">
        <v>257</v>
      </c>
      <c r="V1" s="569" t="s">
        <v>340</v>
      </c>
      <c r="W1" s="570"/>
      <c r="X1" s="570"/>
      <c r="Y1" s="570"/>
      <c r="Z1" s="570"/>
      <c r="AA1" s="570"/>
      <c r="AB1" s="570"/>
      <c r="AC1" s="570"/>
      <c r="AD1" s="571"/>
      <c r="AE1" s="3" t="s">
        <v>267</v>
      </c>
      <c r="AF1" s="569" t="s">
        <v>336</v>
      </c>
      <c r="AG1" s="570"/>
      <c r="AH1" s="570"/>
      <c r="AI1" s="570"/>
      <c r="AJ1" s="570"/>
      <c r="AK1" s="570"/>
      <c r="AL1" s="570"/>
      <c r="AM1" s="570"/>
      <c r="AN1" s="571"/>
      <c r="AO1" s="552" t="s">
        <v>268</v>
      </c>
      <c r="AP1" s="553"/>
      <c r="AQ1" s="553"/>
      <c r="AR1" s="554"/>
      <c r="AS1" s="257"/>
    </row>
    <row r="2" spans="1:131" s="377" customFormat="1" ht="24" customHeight="1">
      <c r="A2" s="535"/>
      <c r="B2" s="538"/>
      <c r="C2" s="541"/>
      <c r="D2" s="483" t="s">
        <v>259</v>
      </c>
      <c r="E2" s="377" t="s">
        <v>260</v>
      </c>
      <c r="F2" s="484" t="s">
        <v>261</v>
      </c>
      <c r="G2" s="485" t="s">
        <v>347</v>
      </c>
      <c r="H2" s="549"/>
      <c r="I2" s="550"/>
      <c r="J2" s="550"/>
      <c r="K2" s="551"/>
      <c r="L2" s="573"/>
      <c r="M2" s="576" t="s">
        <v>262</v>
      </c>
      <c r="N2" s="564" t="s">
        <v>263</v>
      </c>
      <c r="O2" s="565"/>
      <c r="P2" s="564" t="s">
        <v>340</v>
      </c>
      <c r="Q2" s="565"/>
      <c r="R2" s="578" t="s">
        <v>348</v>
      </c>
      <c r="S2" s="486" t="s">
        <v>341</v>
      </c>
      <c r="T2" s="514" t="s">
        <v>341</v>
      </c>
      <c r="U2" s="515" t="s">
        <v>342</v>
      </c>
      <c r="V2" s="503" t="s">
        <v>335</v>
      </c>
      <c r="W2" s="504"/>
      <c r="X2" s="505"/>
      <c r="Y2" s="503" t="s">
        <v>334</v>
      </c>
      <c r="Z2" s="506"/>
      <c r="AA2" s="507"/>
      <c r="AB2" s="508" t="s">
        <v>333</v>
      </c>
      <c r="AC2" s="506"/>
      <c r="AD2" s="507"/>
      <c r="AE2" s="4" t="s">
        <v>337</v>
      </c>
      <c r="AF2" s="503" t="s">
        <v>335</v>
      </c>
      <c r="AG2" s="504"/>
      <c r="AH2" s="505"/>
      <c r="AI2" s="503" t="s">
        <v>334</v>
      </c>
      <c r="AJ2" s="506"/>
      <c r="AK2" s="507"/>
      <c r="AL2" s="508" t="s">
        <v>333</v>
      </c>
      <c r="AM2" s="506"/>
      <c r="AN2" s="507"/>
      <c r="AO2" s="555" t="s">
        <v>339</v>
      </c>
      <c r="AP2" s="556"/>
      <c r="AQ2" s="556"/>
      <c r="AR2" s="557"/>
      <c r="AS2" s="502" t="s">
        <v>101</v>
      </c>
    </row>
    <row r="3" spans="1:131" s="377" customFormat="1" ht="24" customHeight="1" thickBot="1">
      <c r="A3" s="536"/>
      <c r="B3" s="539"/>
      <c r="C3" s="542"/>
      <c r="D3" s="490" t="s">
        <v>349</v>
      </c>
      <c r="E3" s="491" t="s">
        <v>254</v>
      </c>
      <c r="F3" s="492" t="s">
        <v>350</v>
      </c>
      <c r="G3" s="493" t="s">
        <v>264</v>
      </c>
      <c r="H3" s="561" t="s">
        <v>316</v>
      </c>
      <c r="I3" s="562"/>
      <c r="J3" s="562"/>
      <c r="K3" s="563"/>
      <c r="L3" s="574"/>
      <c r="M3" s="577"/>
      <c r="N3" s="517" t="s">
        <v>351</v>
      </c>
      <c r="O3" s="518" t="s">
        <v>265</v>
      </c>
      <c r="P3" s="519" t="s">
        <v>321</v>
      </c>
      <c r="Q3" s="520" t="s">
        <v>322</v>
      </c>
      <c r="R3" s="579"/>
      <c r="S3" s="430" t="s">
        <v>266</v>
      </c>
      <c r="T3" s="516" t="s">
        <v>352</v>
      </c>
      <c r="U3" s="516" t="s">
        <v>343</v>
      </c>
      <c r="V3" s="509" t="s">
        <v>327</v>
      </c>
      <c r="W3" s="510" t="s">
        <v>328</v>
      </c>
      <c r="X3" s="511" t="s">
        <v>329</v>
      </c>
      <c r="Y3" s="509" t="s">
        <v>327</v>
      </c>
      <c r="Z3" s="510" t="s">
        <v>328</v>
      </c>
      <c r="AA3" s="511" t="s">
        <v>329</v>
      </c>
      <c r="AB3" s="509" t="s">
        <v>327</v>
      </c>
      <c r="AC3" s="510" t="s">
        <v>328</v>
      </c>
      <c r="AD3" s="511" t="s">
        <v>329</v>
      </c>
      <c r="AE3" s="524" t="s">
        <v>355</v>
      </c>
      <c r="AF3" s="509" t="s">
        <v>327</v>
      </c>
      <c r="AG3" s="510" t="s">
        <v>328</v>
      </c>
      <c r="AH3" s="511" t="s">
        <v>329</v>
      </c>
      <c r="AI3" s="509" t="s">
        <v>327</v>
      </c>
      <c r="AJ3" s="510" t="s">
        <v>328</v>
      </c>
      <c r="AK3" s="511" t="s">
        <v>329</v>
      </c>
      <c r="AL3" s="509" t="s">
        <v>327</v>
      </c>
      <c r="AM3" s="510" t="s">
        <v>328</v>
      </c>
      <c r="AN3" s="511" t="s">
        <v>329</v>
      </c>
      <c r="AO3" s="498" t="s">
        <v>338</v>
      </c>
      <c r="AP3" s="499" t="s">
        <v>330</v>
      </c>
      <c r="AQ3" s="500" t="s">
        <v>331</v>
      </c>
      <c r="AR3" s="501" t="s">
        <v>332</v>
      </c>
      <c r="AS3" s="429"/>
    </row>
    <row r="4" spans="1:131" s="280" customFormat="1" ht="15.75" customHeight="1">
      <c r="A4" s="12" t="s">
        <v>47</v>
      </c>
      <c r="B4" s="13" t="s">
        <v>68</v>
      </c>
      <c r="C4" s="14"/>
      <c r="D4" s="424"/>
      <c r="E4" s="15"/>
      <c r="F4" s="424"/>
      <c r="G4" s="388">
        <v>151</v>
      </c>
      <c r="H4" s="391">
        <v>19</v>
      </c>
      <c r="I4" s="16" t="s">
        <v>314</v>
      </c>
      <c r="J4" s="17">
        <v>19</v>
      </c>
      <c r="K4" s="231"/>
      <c r="L4" s="237" t="s">
        <v>283</v>
      </c>
      <c r="M4" s="19" t="s">
        <v>273</v>
      </c>
      <c r="N4" s="20">
        <v>10</v>
      </c>
      <c r="O4" s="21"/>
      <c r="P4" s="22"/>
      <c r="Q4" s="21"/>
      <c r="R4" s="23"/>
      <c r="S4" s="24" t="s">
        <v>23</v>
      </c>
      <c r="T4" s="25" t="s">
        <v>84</v>
      </c>
      <c r="U4" s="26" t="s">
        <v>25</v>
      </c>
      <c r="V4" s="27">
        <v>2.0920000000000001</v>
      </c>
      <c r="W4" s="28">
        <v>0.91200000000000003</v>
      </c>
      <c r="X4" s="29" t="s">
        <v>12</v>
      </c>
      <c r="Y4" s="30">
        <v>2.0920000000000001</v>
      </c>
      <c r="Z4" s="28">
        <v>0.91200000000000003</v>
      </c>
      <c r="AA4" s="29" t="s">
        <v>12</v>
      </c>
      <c r="AB4" s="30">
        <v>1.585</v>
      </c>
      <c r="AC4" s="28" t="s">
        <v>12</v>
      </c>
      <c r="AD4" s="31" t="s">
        <v>12</v>
      </c>
      <c r="AE4" s="375" t="s">
        <v>251</v>
      </c>
      <c r="AF4" s="32">
        <v>0.67</v>
      </c>
      <c r="AG4" s="33">
        <v>0.79</v>
      </c>
      <c r="AH4" s="34" t="s">
        <v>12</v>
      </c>
      <c r="AI4" s="32">
        <v>0.48</v>
      </c>
      <c r="AJ4" s="33">
        <v>0.37</v>
      </c>
      <c r="AK4" s="34" t="s">
        <v>12</v>
      </c>
      <c r="AL4" s="32">
        <v>0.46</v>
      </c>
      <c r="AM4" s="33" t="s">
        <v>12</v>
      </c>
      <c r="AN4" s="34" t="s">
        <v>12</v>
      </c>
      <c r="AO4" s="244"/>
      <c r="AP4" s="35"/>
      <c r="AQ4" s="36"/>
      <c r="AR4" s="37"/>
      <c r="AS4" s="478"/>
    </row>
    <row r="5" spans="1:131" s="280" customFormat="1" ht="15.75" customHeight="1">
      <c r="A5" s="38"/>
      <c r="B5" s="39"/>
      <c r="C5" s="40"/>
      <c r="D5" s="41"/>
      <c r="E5" s="42"/>
      <c r="F5" s="41"/>
      <c r="G5" s="385"/>
      <c r="H5" s="43"/>
      <c r="I5" s="44"/>
      <c r="J5" s="45"/>
      <c r="K5" s="232"/>
      <c r="L5" s="238"/>
      <c r="M5" s="47"/>
      <c r="N5" s="48"/>
      <c r="O5" s="49"/>
      <c r="P5" s="50"/>
      <c r="Q5" s="51"/>
      <c r="R5" s="52"/>
      <c r="S5" s="53" t="s">
        <v>24</v>
      </c>
      <c r="T5" s="54"/>
      <c r="U5" s="47"/>
      <c r="V5" s="55"/>
      <c r="W5" s="56"/>
      <c r="X5" s="51"/>
      <c r="Y5" s="57"/>
      <c r="Z5" s="56"/>
      <c r="AA5" s="51"/>
      <c r="AB5" s="57"/>
      <c r="AC5" s="56"/>
      <c r="AD5" s="58"/>
      <c r="AE5" s="243" t="s">
        <v>90</v>
      </c>
      <c r="AF5" s="59">
        <v>0.71</v>
      </c>
      <c r="AG5" s="60" t="s">
        <v>12</v>
      </c>
      <c r="AH5" s="61" t="s">
        <v>12</v>
      </c>
      <c r="AI5" s="59">
        <v>0.36</v>
      </c>
      <c r="AJ5" s="60" t="s">
        <v>12</v>
      </c>
      <c r="AK5" s="61" t="s">
        <v>12</v>
      </c>
      <c r="AL5" s="59" t="s">
        <v>12</v>
      </c>
      <c r="AM5" s="60" t="s">
        <v>12</v>
      </c>
      <c r="AN5" s="61" t="s">
        <v>12</v>
      </c>
      <c r="AO5" s="245"/>
      <c r="AP5" s="62"/>
      <c r="AQ5" s="63"/>
      <c r="AR5" s="64"/>
      <c r="AS5" s="474"/>
    </row>
    <row r="6" spans="1:131" s="280" customFormat="1" ht="15.75" customHeight="1">
      <c r="A6" s="67" t="s">
        <v>48</v>
      </c>
      <c r="B6" s="68" t="s">
        <v>69</v>
      </c>
      <c r="C6" s="69">
        <v>1989</v>
      </c>
      <c r="D6" s="70">
        <v>5</v>
      </c>
      <c r="E6" s="71">
        <v>0</v>
      </c>
      <c r="F6" s="70">
        <v>2</v>
      </c>
      <c r="G6" s="387">
        <v>148.07</v>
      </c>
      <c r="H6" s="72">
        <v>21.65</v>
      </c>
      <c r="I6" s="73" t="s">
        <v>314</v>
      </c>
      <c r="J6" s="74">
        <v>21.65</v>
      </c>
      <c r="K6" s="233" t="s">
        <v>288</v>
      </c>
      <c r="L6" s="239" t="s">
        <v>284</v>
      </c>
      <c r="M6" s="76" t="s">
        <v>274</v>
      </c>
      <c r="N6" s="77">
        <v>7.3</v>
      </c>
      <c r="O6" s="78">
        <v>24</v>
      </c>
      <c r="P6" s="79">
        <v>3.22</v>
      </c>
      <c r="Q6" s="80">
        <v>3.08</v>
      </c>
      <c r="R6" s="81">
        <v>2</v>
      </c>
      <c r="S6" s="68" t="s">
        <v>12</v>
      </c>
      <c r="T6" s="82" t="s">
        <v>82</v>
      </c>
      <c r="U6" s="83"/>
      <c r="V6" s="84">
        <v>3.08</v>
      </c>
      <c r="W6" s="85">
        <v>1.61</v>
      </c>
      <c r="X6" s="80">
        <v>0.61</v>
      </c>
      <c r="Y6" s="86">
        <v>3</v>
      </c>
      <c r="Z6" s="85">
        <v>1.64</v>
      </c>
      <c r="AA6" s="80">
        <v>0.59</v>
      </c>
      <c r="AB6" s="86">
        <v>0.89</v>
      </c>
      <c r="AC6" s="85" t="s">
        <v>12</v>
      </c>
      <c r="AD6" s="87" t="s">
        <v>12</v>
      </c>
      <c r="AE6" s="158" t="s">
        <v>91</v>
      </c>
      <c r="AF6" s="88">
        <v>0.6</v>
      </c>
      <c r="AG6" s="89" t="s">
        <v>12</v>
      </c>
      <c r="AH6" s="90" t="s">
        <v>12</v>
      </c>
      <c r="AI6" s="88">
        <v>0.5</v>
      </c>
      <c r="AJ6" s="89" t="s">
        <v>12</v>
      </c>
      <c r="AK6" s="90" t="s">
        <v>12</v>
      </c>
      <c r="AL6" s="88" t="s">
        <v>12</v>
      </c>
      <c r="AM6" s="89" t="s">
        <v>12</v>
      </c>
      <c r="AN6" s="90" t="s">
        <v>12</v>
      </c>
      <c r="AO6" s="246"/>
      <c r="AP6" s="91"/>
      <c r="AQ6" s="73"/>
      <c r="AR6" s="92"/>
      <c r="AS6" s="470"/>
    </row>
    <row r="7" spans="1:131" s="280" customFormat="1" ht="15.75" customHeight="1">
      <c r="A7" s="67" t="s">
        <v>49</v>
      </c>
      <c r="B7" s="68" t="s">
        <v>70</v>
      </c>
      <c r="C7" s="69">
        <v>1988</v>
      </c>
      <c r="D7" s="70">
        <v>5</v>
      </c>
      <c r="E7" s="71">
        <v>0</v>
      </c>
      <c r="F7" s="70">
        <v>1</v>
      </c>
      <c r="G7" s="387">
        <v>136</v>
      </c>
      <c r="H7" s="72">
        <v>13.5</v>
      </c>
      <c r="I7" s="73" t="s">
        <v>314</v>
      </c>
      <c r="J7" s="74">
        <v>19.8</v>
      </c>
      <c r="K7" s="233" t="s">
        <v>79</v>
      </c>
      <c r="L7" s="239" t="s">
        <v>284</v>
      </c>
      <c r="M7" s="76" t="s">
        <v>274</v>
      </c>
      <c r="N7" s="77">
        <v>5.7</v>
      </c>
      <c r="O7" s="78">
        <v>25</v>
      </c>
      <c r="P7" s="79">
        <v>2.5</v>
      </c>
      <c r="Q7" s="80">
        <v>2.69</v>
      </c>
      <c r="R7" s="81">
        <v>2</v>
      </c>
      <c r="S7" s="68" t="s">
        <v>12</v>
      </c>
      <c r="T7" s="82" t="s">
        <v>85</v>
      </c>
      <c r="U7" s="83"/>
      <c r="V7" s="84">
        <v>2.37</v>
      </c>
      <c r="W7" s="85">
        <v>0.51500000000000001</v>
      </c>
      <c r="X7" s="80">
        <v>0.25600000000000001</v>
      </c>
      <c r="Y7" s="86">
        <v>2.37</v>
      </c>
      <c r="Z7" s="85">
        <v>0.505</v>
      </c>
      <c r="AA7" s="80">
        <v>0.25900000000000001</v>
      </c>
      <c r="AB7" s="86">
        <v>0.70899999999999996</v>
      </c>
      <c r="AC7" s="85">
        <v>0.28199999999999997</v>
      </c>
      <c r="AD7" s="590" t="s">
        <v>12</v>
      </c>
      <c r="AE7" s="243" t="s">
        <v>399</v>
      </c>
      <c r="AF7" s="591">
        <v>0.35</v>
      </c>
      <c r="AG7" s="89">
        <v>1.1000000000000001</v>
      </c>
      <c r="AH7" s="90" t="s">
        <v>12</v>
      </c>
      <c r="AI7" s="88">
        <v>0.6</v>
      </c>
      <c r="AJ7" s="89">
        <v>1.3</v>
      </c>
      <c r="AK7" s="90" t="s">
        <v>12</v>
      </c>
      <c r="AL7" s="88">
        <v>1.2</v>
      </c>
      <c r="AM7" s="89">
        <v>5.2</v>
      </c>
      <c r="AN7" s="90" t="s">
        <v>12</v>
      </c>
      <c r="AO7" s="246" t="s">
        <v>291</v>
      </c>
      <c r="AP7" s="91">
        <v>530</v>
      </c>
      <c r="AQ7" s="73"/>
      <c r="AR7" s="92"/>
      <c r="AS7" s="470"/>
    </row>
    <row r="8" spans="1:131" s="280" customFormat="1" ht="15.75" customHeight="1">
      <c r="A8" s="67" t="s">
        <v>50</v>
      </c>
      <c r="B8" s="68" t="s">
        <v>71</v>
      </c>
      <c r="C8" s="69"/>
      <c r="D8" s="70">
        <v>7</v>
      </c>
      <c r="E8" s="71">
        <v>0</v>
      </c>
      <c r="F8" s="70">
        <v>0</v>
      </c>
      <c r="G8" s="387">
        <v>134</v>
      </c>
      <c r="H8" s="72">
        <v>16.8</v>
      </c>
      <c r="I8" s="73" t="s">
        <v>314</v>
      </c>
      <c r="J8" s="74">
        <v>16.8</v>
      </c>
      <c r="K8" s="233" t="s">
        <v>80</v>
      </c>
      <c r="L8" s="239" t="s">
        <v>284</v>
      </c>
      <c r="M8" s="76" t="s">
        <v>273</v>
      </c>
      <c r="N8" s="77">
        <v>6</v>
      </c>
      <c r="O8" s="95"/>
      <c r="P8" s="79">
        <v>2.2000000000000002</v>
      </c>
      <c r="Q8" s="80">
        <v>1.98</v>
      </c>
      <c r="R8" s="81">
        <v>2</v>
      </c>
      <c r="S8" s="68" t="s">
        <v>12</v>
      </c>
      <c r="T8" s="82" t="s">
        <v>82</v>
      </c>
      <c r="U8" s="83"/>
      <c r="V8" s="84">
        <v>2.0409999999999999</v>
      </c>
      <c r="W8" s="85">
        <v>0.47599999999999998</v>
      </c>
      <c r="X8" s="80" t="s">
        <v>12</v>
      </c>
      <c r="Y8" s="86">
        <v>1.181</v>
      </c>
      <c r="Z8" s="85">
        <v>0.47599999999999998</v>
      </c>
      <c r="AA8" s="80">
        <v>0.24399999999999999</v>
      </c>
      <c r="AB8" s="86">
        <v>1.3160000000000001</v>
      </c>
      <c r="AC8" s="85">
        <v>0.4</v>
      </c>
      <c r="AD8" s="87" t="s">
        <v>12</v>
      </c>
      <c r="AE8" s="39" t="s">
        <v>91</v>
      </c>
      <c r="AF8" s="88">
        <v>0.55000000000000004</v>
      </c>
      <c r="AG8" s="89" t="s">
        <v>12</v>
      </c>
      <c r="AH8" s="90" t="s">
        <v>12</v>
      </c>
      <c r="AI8" s="88">
        <v>0.46</v>
      </c>
      <c r="AJ8" s="89" t="s">
        <v>12</v>
      </c>
      <c r="AK8" s="90" t="s">
        <v>12</v>
      </c>
      <c r="AL8" s="88" t="s">
        <v>12</v>
      </c>
      <c r="AM8" s="89" t="s">
        <v>12</v>
      </c>
      <c r="AN8" s="90" t="s">
        <v>12</v>
      </c>
      <c r="AO8" s="246" t="s">
        <v>291</v>
      </c>
      <c r="AP8" s="91">
        <v>430</v>
      </c>
      <c r="AQ8" s="73">
        <v>330</v>
      </c>
      <c r="AR8" s="92"/>
      <c r="AS8" s="476"/>
    </row>
    <row r="9" spans="1:131" s="280" customFormat="1" ht="15.75" customHeight="1">
      <c r="A9" s="12" t="s">
        <v>51</v>
      </c>
      <c r="B9" s="13" t="s">
        <v>72</v>
      </c>
      <c r="C9" s="14">
        <v>1987</v>
      </c>
      <c r="D9" s="424">
        <v>4</v>
      </c>
      <c r="E9" s="15">
        <v>0</v>
      </c>
      <c r="F9" s="424">
        <v>2</v>
      </c>
      <c r="G9" s="388">
        <v>124.5</v>
      </c>
      <c r="H9" s="391">
        <v>13</v>
      </c>
      <c r="I9" s="16" t="s">
        <v>314</v>
      </c>
      <c r="J9" s="96">
        <v>24.1</v>
      </c>
      <c r="K9" s="236" t="s">
        <v>79</v>
      </c>
      <c r="L9" s="237" t="s">
        <v>284</v>
      </c>
      <c r="M9" s="19" t="s">
        <v>274</v>
      </c>
      <c r="N9" s="97">
        <v>3.6</v>
      </c>
      <c r="O9" s="98">
        <v>36</v>
      </c>
      <c r="P9" s="22">
        <v>2.25</v>
      </c>
      <c r="Q9" s="21">
        <v>2.7</v>
      </c>
      <c r="R9" s="23">
        <v>2</v>
      </c>
      <c r="S9" s="99">
        <v>1</v>
      </c>
      <c r="T9" s="242" t="s">
        <v>87</v>
      </c>
      <c r="U9" s="101" t="s">
        <v>17</v>
      </c>
      <c r="V9" s="102">
        <v>2.2799999999999998</v>
      </c>
      <c r="W9" s="103" t="s">
        <v>12</v>
      </c>
      <c r="X9" s="104" t="s">
        <v>12</v>
      </c>
      <c r="Y9" s="105">
        <v>2.34</v>
      </c>
      <c r="Z9" s="103" t="s">
        <v>12</v>
      </c>
      <c r="AA9" s="104" t="s">
        <v>12</v>
      </c>
      <c r="AB9" s="105" t="s">
        <v>12</v>
      </c>
      <c r="AC9" s="103" t="s">
        <v>12</v>
      </c>
      <c r="AD9" s="106" t="s">
        <v>12</v>
      </c>
      <c r="AE9" s="99" t="s">
        <v>91</v>
      </c>
      <c r="AF9" s="107">
        <v>0.51</v>
      </c>
      <c r="AG9" s="108" t="s">
        <v>12</v>
      </c>
      <c r="AH9" s="109" t="s">
        <v>12</v>
      </c>
      <c r="AI9" s="107">
        <v>0.53</v>
      </c>
      <c r="AJ9" s="108" t="s">
        <v>12</v>
      </c>
      <c r="AK9" s="109" t="s">
        <v>12</v>
      </c>
      <c r="AL9" s="107" t="s">
        <v>12</v>
      </c>
      <c r="AM9" s="108" t="s">
        <v>12</v>
      </c>
      <c r="AN9" s="109" t="s">
        <v>12</v>
      </c>
      <c r="AO9" s="247"/>
      <c r="AP9" s="110"/>
      <c r="AQ9" s="111"/>
      <c r="AR9" s="112"/>
      <c r="AS9" s="475"/>
    </row>
    <row r="10" spans="1:131" s="280" customFormat="1" ht="15.75" customHeight="1">
      <c r="A10" s="12"/>
      <c r="B10" s="13"/>
      <c r="C10" s="14"/>
      <c r="D10" s="424"/>
      <c r="E10" s="15"/>
      <c r="F10" s="424"/>
      <c r="G10" s="388"/>
      <c r="H10" s="391"/>
      <c r="I10" s="16"/>
      <c r="J10" s="96"/>
      <c r="K10" s="231"/>
      <c r="L10" s="237"/>
      <c r="M10" s="19"/>
      <c r="N10" s="97"/>
      <c r="O10" s="98"/>
      <c r="P10" s="22"/>
      <c r="Q10" s="21"/>
      <c r="R10" s="23"/>
      <c r="S10" s="115">
        <v>2</v>
      </c>
      <c r="T10" s="116" t="s">
        <v>84</v>
      </c>
      <c r="U10" s="117"/>
      <c r="V10" s="118">
        <v>2.319</v>
      </c>
      <c r="W10" s="119">
        <v>0.48299999999999998</v>
      </c>
      <c r="X10" s="120" t="s">
        <v>12</v>
      </c>
      <c r="Y10" s="121">
        <v>2.3769999999999998</v>
      </c>
      <c r="Z10" s="119">
        <v>0.47799999999999998</v>
      </c>
      <c r="AA10" s="120" t="s">
        <v>12</v>
      </c>
      <c r="AB10" s="121" t="s">
        <v>12</v>
      </c>
      <c r="AC10" s="119" t="s">
        <v>12</v>
      </c>
      <c r="AD10" s="122" t="s">
        <v>12</v>
      </c>
      <c r="AE10" s="123" t="s">
        <v>90</v>
      </c>
      <c r="AF10" s="124">
        <v>0.38</v>
      </c>
      <c r="AG10" s="125">
        <v>1.29</v>
      </c>
      <c r="AH10" s="126" t="s">
        <v>12</v>
      </c>
      <c r="AI10" s="124">
        <v>0.56999999999999995</v>
      </c>
      <c r="AJ10" s="125">
        <v>1.31</v>
      </c>
      <c r="AK10" s="126" t="s">
        <v>12</v>
      </c>
      <c r="AL10" s="124" t="s">
        <v>12</v>
      </c>
      <c r="AM10" s="125" t="s">
        <v>12</v>
      </c>
      <c r="AN10" s="126" t="s">
        <v>12</v>
      </c>
      <c r="AO10" s="248" t="s">
        <v>291</v>
      </c>
      <c r="AP10" s="127">
        <v>257</v>
      </c>
      <c r="AQ10" s="128">
        <v>133</v>
      </c>
      <c r="AR10" s="129"/>
      <c r="AS10" s="473"/>
    </row>
    <row r="11" spans="1:131" s="280" customFormat="1" ht="15.75" customHeight="1">
      <c r="A11" s="12"/>
      <c r="B11" s="13"/>
      <c r="C11" s="14"/>
      <c r="D11" s="424"/>
      <c r="E11" s="15"/>
      <c r="F11" s="424"/>
      <c r="G11" s="388"/>
      <c r="H11" s="391"/>
      <c r="I11" s="16"/>
      <c r="J11" s="96"/>
      <c r="K11" s="231"/>
      <c r="L11" s="237"/>
      <c r="M11" s="19"/>
      <c r="N11" s="97"/>
      <c r="O11" s="98"/>
      <c r="P11" s="22"/>
      <c r="Q11" s="21"/>
      <c r="R11" s="23"/>
      <c r="S11" s="115" t="s">
        <v>2</v>
      </c>
      <c r="T11" s="116" t="s">
        <v>84</v>
      </c>
      <c r="U11" s="132" t="s">
        <v>67</v>
      </c>
      <c r="V11" s="133">
        <v>2.306</v>
      </c>
      <c r="W11" s="119" t="s">
        <v>12</v>
      </c>
      <c r="X11" s="120" t="s">
        <v>12</v>
      </c>
      <c r="Y11" s="134">
        <v>2.375</v>
      </c>
      <c r="Z11" s="119" t="s">
        <v>12</v>
      </c>
      <c r="AA11" s="120" t="s">
        <v>12</v>
      </c>
      <c r="AB11" s="121" t="s">
        <v>12</v>
      </c>
      <c r="AC11" s="119" t="s">
        <v>12</v>
      </c>
      <c r="AD11" s="122" t="s">
        <v>12</v>
      </c>
      <c r="AE11" s="123" t="s">
        <v>90</v>
      </c>
      <c r="AF11" s="135">
        <v>1.03</v>
      </c>
      <c r="AG11" s="125" t="s">
        <v>12</v>
      </c>
      <c r="AH11" s="126" t="s">
        <v>12</v>
      </c>
      <c r="AI11" s="135">
        <v>1.06</v>
      </c>
      <c r="AJ11" s="125" t="s">
        <v>12</v>
      </c>
      <c r="AK11" s="126" t="s">
        <v>12</v>
      </c>
      <c r="AL11" s="124" t="s">
        <v>12</v>
      </c>
      <c r="AM11" s="125" t="s">
        <v>12</v>
      </c>
      <c r="AN11" s="136" t="s">
        <v>12</v>
      </c>
      <c r="AO11" s="249" t="s">
        <v>289</v>
      </c>
      <c r="AP11" s="127" t="s">
        <v>3</v>
      </c>
      <c r="AQ11" s="128" t="s">
        <v>3</v>
      </c>
      <c r="AR11" s="137"/>
      <c r="AS11" s="473" t="s">
        <v>382</v>
      </c>
    </row>
    <row r="12" spans="1:131" s="280" customFormat="1" ht="15.75" customHeight="1">
      <c r="A12" s="38"/>
      <c r="B12" s="39"/>
      <c r="C12" s="40"/>
      <c r="D12" s="41"/>
      <c r="E12" s="42"/>
      <c r="F12" s="41"/>
      <c r="G12" s="385"/>
      <c r="H12" s="43"/>
      <c r="I12" s="44"/>
      <c r="J12" s="45"/>
      <c r="K12" s="232"/>
      <c r="L12" s="238"/>
      <c r="M12" s="47"/>
      <c r="N12" s="48"/>
      <c r="O12" s="49"/>
      <c r="P12" s="50"/>
      <c r="Q12" s="51"/>
      <c r="R12" s="52"/>
      <c r="S12" s="39" t="s">
        <v>13</v>
      </c>
      <c r="T12" s="54"/>
      <c r="U12" s="54"/>
      <c r="V12" s="138">
        <v>2.3330000000000002</v>
      </c>
      <c r="W12" s="139" t="s">
        <v>12</v>
      </c>
      <c r="X12" s="140" t="s">
        <v>12</v>
      </c>
      <c r="Y12" s="141" t="s">
        <v>12</v>
      </c>
      <c r="Z12" s="139" t="s">
        <v>12</v>
      </c>
      <c r="AA12" s="140" t="s">
        <v>12</v>
      </c>
      <c r="AB12" s="141" t="s">
        <v>12</v>
      </c>
      <c r="AC12" s="139" t="s">
        <v>12</v>
      </c>
      <c r="AD12" s="142" t="s">
        <v>12</v>
      </c>
      <c r="AE12" s="39"/>
      <c r="AF12" s="143">
        <v>0.94</v>
      </c>
      <c r="AG12" s="144" t="s">
        <v>12</v>
      </c>
      <c r="AH12" s="145" t="s">
        <v>12</v>
      </c>
      <c r="AI12" s="146" t="s">
        <v>12</v>
      </c>
      <c r="AJ12" s="144" t="s">
        <v>12</v>
      </c>
      <c r="AK12" s="145" t="s">
        <v>12</v>
      </c>
      <c r="AL12" s="146" t="s">
        <v>12</v>
      </c>
      <c r="AM12" s="144" t="s">
        <v>12</v>
      </c>
      <c r="AN12" s="145" t="s">
        <v>12</v>
      </c>
      <c r="AO12" s="250"/>
      <c r="AP12" s="147" t="s">
        <v>4</v>
      </c>
      <c r="AQ12" s="44"/>
      <c r="AR12" s="64"/>
      <c r="AS12" s="474" t="s">
        <v>383</v>
      </c>
    </row>
    <row r="13" spans="1:131" s="280" customFormat="1" ht="15.75" customHeight="1">
      <c r="A13" s="12" t="s">
        <v>52</v>
      </c>
      <c r="B13" s="13" t="s">
        <v>73</v>
      </c>
      <c r="C13" s="14"/>
      <c r="D13" s="424">
        <v>5</v>
      </c>
      <c r="E13" s="15">
        <v>0</v>
      </c>
      <c r="F13" s="424">
        <v>1</v>
      </c>
      <c r="G13" s="388">
        <v>109.7</v>
      </c>
      <c r="H13" s="391">
        <v>20.2</v>
      </c>
      <c r="I13" s="16" t="s">
        <v>314</v>
      </c>
      <c r="J13" s="96">
        <v>20.2</v>
      </c>
      <c r="K13" s="231"/>
      <c r="L13" s="237" t="s">
        <v>284</v>
      </c>
      <c r="M13" s="19" t="s">
        <v>274</v>
      </c>
      <c r="N13" s="97">
        <v>6.5</v>
      </c>
      <c r="O13" s="98">
        <v>40</v>
      </c>
      <c r="P13" s="22">
        <v>2.4390000000000001</v>
      </c>
      <c r="Q13" s="21">
        <v>2.4390000000000001</v>
      </c>
      <c r="R13" s="23">
        <v>2</v>
      </c>
      <c r="S13" s="99">
        <v>1</v>
      </c>
      <c r="T13" s="100" t="s">
        <v>86</v>
      </c>
      <c r="U13" s="101" t="s">
        <v>19</v>
      </c>
      <c r="V13" s="102">
        <v>2.2999999999999998</v>
      </c>
      <c r="W13" s="103">
        <v>0.56000000000000005</v>
      </c>
      <c r="X13" s="104" t="s">
        <v>12</v>
      </c>
      <c r="Y13" s="105">
        <v>2.35</v>
      </c>
      <c r="Z13" s="103">
        <v>0.56000000000000005</v>
      </c>
      <c r="AA13" s="104" t="s">
        <v>12</v>
      </c>
      <c r="AB13" s="105" t="s">
        <v>12</v>
      </c>
      <c r="AC13" s="103" t="s">
        <v>12</v>
      </c>
      <c r="AD13" s="106" t="s">
        <v>12</v>
      </c>
      <c r="AE13" s="99" t="s">
        <v>90</v>
      </c>
      <c r="AF13" s="107">
        <v>0.92</v>
      </c>
      <c r="AG13" s="108">
        <v>0.7</v>
      </c>
      <c r="AH13" s="109" t="s">
        <v>12</v>
      </c>
      <c r="AI13" s="107">
        <v>0.71</v>
      </c>
      <c r="AJ13" s="108">
        <v>0.84</v>
      </c>
      <c r="AK13" s="109" t="s">
        <v>12</v>
      </c>
      <c r="AL13" s="107" t="s">
        <v>12</v>
      </c>
      <c r="AM13" s="108" t="s">
        <v>12</v>
      </c>
      <c r="AN13" s="109" t="s">
        <v>12</v>
      </c>
      <c r="AO13" s="247"/>
      <c r="AP13" s="110"/>
      <c r="AQ13" s="111"/>
      <c r="AR13" s="129"/>
      <c r="AS13" s="475"/>
    </row>
    <row r="14" spans="1:131" s="280" customFormat="1" ht="15.75" customHeight="1">
      <c r="A14" s="12"/>
      <c r="B14" s="13"/>
      <c r="C14" s="14"/>
      <c r="D14" s="424"/>
      <c r="E14" s="15"/>
      <c r="F14" s="424"/>
      <c r="G14" s="388"/>
      <c r="H14" s="391"/>
      <c r="I14" s="16"/>
      <c r="J14" s="96"/>
      <c r="K14" s="231"/>
      <c r="L14" s="237"/>
      <c r="M14" s="19"/>
      <c r="N14" s="97"/>
      <c r="O14" s="98"/>
      <c r="P14" s="22"/>
      <c r="Q14" s="21"/>
      <c r="R14" s="23"/>
      <c r="S14" s="115">
        <v>2</v>
      </c>
      <c r="T14" s="148" t="s">
        <v>82</v>
      </c>
      <c r="U14" s="117"/>
      <c r="V14" s="118">
        <v>2.31</v>
      </c>
      <c r="W14" s="119">
        <v>0.56000000000000005</v>
      </c>
      <c r="X14" s="120" t="s">
        <v>12</v>
      </c>
      <c r="Y14" s="121">
        <v>2.33</v>
      </c>
      <c r="Z14" s="119">
        <v>0.56000000000000005</v>
      </c>
      <c r="AA14" s="120" t="s">
        <v>12</v>
      </c>
      <c r="AB14" s="121" t="s">
        <v>12</v>
      </c>
      <c r="AC14" s="119" t="s">
        <v>12</v>
      </c>
      <c r="AD14" s="122" t="s">
        <v>12</v>
      </c>
      <c r="AE14" s="115" t="s">
        <v>91</v>
      </c>
      <c r="AF14" s="124">
        <v>0.83</v>
      </c>
      <c r="AG14" s="125" t="s">
        <v>12</v>
      </c>
      <c r="AH14" s="126" t="s">
        <v>12</v>
      </c>
      <c r="AI14" s="124">
        <v>0.93</v>
      </c>
      <c r="AJ14" s="125">
        <v>0.97</v>
      </c>
      <c r="AK14" s="126" t="s">
        <v>12</v>
      </c>
      <c r="AL14" s="124" t="s">
        <v>12</v>
      </c>
      <c r="AM14" s="125" t="s">
        <v>12</v>
      </c>
      <c r="AN14" s="126" t="s">
        <v>12</v>
      </c>
      <c r="AO14" s="248"/>
      <c r="AP14" s="127"/>
      <c r="AQ14" s="128"/>
      <c r="AR14" s="137"/>
      <c r="AS14" s="473"/>
    </row>
    <row r="15" spans="1:131" s="280" customFormat="1" ht="15.75" customHeight="1">
      <c r="A15" s="38"/>
      <c r="B15" s="39"/>
      <c r="C15" s="40"/>
      <c r="D15" s="41"/>
      <c r="E15" s="42"/>
      <c r="F15" s="41"/>
      <c r="G15" s="385"/>
      <c r="H15" s="43"/>
      <c r="I15" s="44"/>
      <c r="J15" s="45"/>
      <c r="K15" s="232"/>
      <c r="L15" s="238"/>
      <c r="M15" s="47"/>
      <c r="N15" s="48"/>
      <c r="O15" s="49"/>
      <c r="P15" s="50"/>
      <c r="Q15" s="51"/>
      <c r="R15" s="52"/>
      <c r="S15" s="53">
        <v>3</v>
      </c>
      <c r="T15" s="255" t="s">
        <v>85</v>
      </c>
      <c r="U15" s="150"/>
      <c r="V15" s="151">
        <v>2.27</v>
      </c>
      <c r="W15" s="139" t="s">
        <v>12</v>
      </c>
      <c r="X15" s="140" t="s">
        <v>12</v>
      </c>
      <c r="Y15" s="141">
        <v>2.3199999999999998</v>
      </c>
      <c r="Z15" s="139" t="s">
        <v>12</v>
      </c>
      <c r="AA15" s="140" t="s">
        <v>12</v>
      </c>
      <c r="AB15" s="141" t="s">
        <v>12</v>
      </c>
      <c r="AC15" s="139" t="s">
        <v>12</v>
      </c>
      <c r="AD15" s="142" t="s">
        <v>12</v>
      </c>
      <c r="AE15" s="53" t="s">
        <v>91</v>
      </c>
      <c r="AF15" s="59">
        <v>1.52</v>
      </c>
      <c r="AG15" s="60" t="s">
        <v>12</v>
      </c>
      <c r="AH15" s="61" t="s">
        <v>12</v>
      </c>
      <c r="AI15" s="59">
        <v>1.39</v>
      </c>
      <c r="AJ15" s="60" t="s">
        <v>12</v>
      </c>
      <c r="AK15" s="61" t="s">
        <v>12</v>
      </c>
      <c r="AL15" s="59" t="s">
        <v>12</v>
      </c>
      <c r="AM15" s="60" t="s">
        <v>12</v>
      </c>
      <c r="AN15" s="61" t="s">
        <v>12</v>
      </c>
      <c r="AO15" s="245"/>
      <c r="AP15" s="62"/>
      <c r="AQ15" s="63"/>
      <c r="AR15" s="64"/>
      <c r="AS15" s="474"/>
    </row>
    <row r="16" spans="1:131" s="377" customFormat="1" ht="15.75" customHeight="1">
      <c r="A16" s="67" t="s">
        <v>53</v>
      </c>
      <c r="B16" s="68" t="s">
        <v>68</v>
      </c>
      <c r="C16" s="69"/>
      <c r="D16" s="70"/>
      <c r="E16" s="71"/>
      <c r="F16" s="70"/>
      <c r="G16" s="387">
        <v>108</v>
      </c>
      <c r="H16" s="72">
        <v>13</v>
      </c>
      <c r="I16" s="73" t="s">
        <v>314</v>
      </c>
      <c r="J16" s="74">
        <v>13</v>
      </c>
      <c r="K16" s="233" t="s">
        <v>287</v>
      </c>
      <c r="L16" s="239" t="s">
        <v>281</v>
      </c>
      <c r="M16" s="76" t="s">
        <v>274</v>
      </c>
      <c r="N16" s="152"/>
      <c r="O16" s="95"/>
      <c r="P16" s="79">
        <v>2.0099999999999998</v>
      </c>
      <c r="Q16" s="80"/>
      <c r="R16" s="81">
        <v>1</v>
      </c>
      <c r="S16" s="68" t="s">
        <v>12</v>
      </c>
      <c r="T16" s="82" t="s">
        <v>85</v>
      </c>
      <c r="U16" s="83" t="s">
        <v>19</v>
      </c>
      <c r="V16" s="84">
        <v>1.67</v>
      </c>
      <c r="W16" s="85">
        <v>0.46</v>
      </c>
      <c r="X16" s="80">
        <v>0.22</v>
      </c>
      <c r="Y16" s="86" t="s">
        <v>12</v>
      </c>
      <c r="Z16" s="85" t="s">
        <v>12</v>
      </c>
      <c r="AA16" s="80" t="s">
        <v>12</v>
      </c>
      <c r="AB16" s="86" t="s">
        <v>12</v>
      </c>
      <c r="AC16" s="85" t="s">
        <v>12</v>
      </c>
      <c r="AD16" s="87" t="s">
        <v>12</v>
      </c>
      <c r="AE16" s="68" t="s">
        <v>91</v>
      </c>
      <c r="AF16" s="88">
        <v>0.25</v>
      </c>
      <c r="AG16" s="89" t="s">
        <v>12</v>
      </c>
      <c r="AH16" s="90" t="s">
        <v>12</v>
      </c>
      <c r="AI16" s="88" t="s">
        <v>12</v>
      </c>
      <c r="AJ16" s="89" t="s">
        <v>12</v>
      </c>
      <c r="AK16" s="90" t="s">
        <v>12</v>
      </c>
      <c r="AL16" s="88" t="s">
        <v>12</v>
      </c>
      <c r="AM16" s="89" t="s">
        <v>12</v>
      </c>
      <c r="AN16" s="90" t="s">
        <v>12</v>
      </c>
      <c r="AO16" s="246" t="s">
        <v>291</v>
      </c>
      <c r="AP16" s="91">
        <v>2500</v>
      </c>
      <c r="AQ16" s="73"/>
      <c r="AR16" s="92"/>
      <c r="AS16" s="47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row>
    <row r="17" spans="1:45" ht="15.75" customHeight="1">
      <c r="A17" s="67" t="s">
        <v>54</v>
      </c>
      <c r="B17" s="68" t="s">
        <v>74</v>
      </c>
      <c r="C17" s="69">
        <v>1961</v>
      </c>
      <c r="D17" s="70"/>
      <c r="E17" s="71"/>
      <c r="F17" s="70"/>
      <c r="G17" s="387">
        <v>101.3</v>
      </c>
      <c r="H17" s="72">
        <v>12.4</v>
      </c>
      <c r="I17" s="73" t="s">
        <v>16</v>
      </c>
      <c r="J17" s="74"/>
      <c r="K17" s="233"/>
      <c r="L17" s="239" t="s">
        <v>284</v>
      </c>
      <c r="M17" s="76" t="s">
        <v>274</v>
      </c>
      <c r="N17" s="152"/>
      <c r="O17" s="95"/>
      <c r="P17" s="79"/>
      <c r="Q17" s="80"/>
      <c r="R17" s="81"/>
      <c r="S17" s="68" t="s">
        <v>12</v>
      </c>
      <c r="T17" s="82" t="s">
        <v>82</v>
      </c>
      <c r="U17" s="83" t="s">
        <v>17</v>
      </c>
      <c r="V17" s="84">
        <v>1.8180000000000001</v>
      </c>
      <c r="W17" s="85">
        <v>0.4</v>
      </c>
      <c r="X17" s="80" t="s">
        <v>12</v>
      </c>
      <c r="Y17" s="86" t="s">
        <v>12</v>
      </c>
      <c r="Z17" s="85" t="s">
        <v>12</v>
      </c>
      <c r="AA17" s="80" t="s">
        <v>12</v>
      </c>
      <c r="AB17" s="86">
        <v>0.71</v>
      </c>
      <c r="AC17" s="85" t="s">
        <v>12</v>
      </c>
      <c r="AD17" s="87" t="s">
        <v>12</v>
      </c>
      <c r="AE17" s="68" t="s">
        <v>91</v>
      </c>
      <c r="AF17" s="88">
        <v>0.6</v>
      </c>
      <c r="AG17" s="89" t="s">
        <v>12</v>
      </c>
      <c r="AH17" s="90" t="s">
        <v>12</v>
      </c>
      <c r="AI17" s="88" t="s">
        <v>12</v>
      </c>
      <c r="AJ17" s="89" t="s">
        <v>12</v>
      </c>
      <c r="AK17" s="90" t="s">
        <v>12</v>
      </c>
      <c r="AL17" s="88" t="s">
        <v>12</v>
      </c>
      <c r="AM17" s="89" t="s">
        <v>12</v>
      </c>
      <c r="AN17" s="90" t="s">
        <v>12</v>
      </c>
      <c r="AO17" s="246"/>
      <c r="AP17" s="91"/>
      <c r="AQ17" s="73"/>
      <c r="AR17" s="92"/>
      <c r="AS17" s="470"/>
    </row>
    <row r="18" spans="1:45" ht="15.75" customHeight="1">
      <c r="A18" s="12" t="s">
        <v>55</v>
      </c>
      <c r="B18" s="13" t="s">
        <v>75</v>
      </c>
      <c r="C18" s="14"/>
      <c r="D18" s="424"/>
      <c r="E18" s="15"/>
      <c r="F18" s="424"/>
      <c r="G18" s="388">
        <v>100</v>
      </c>
      <c r="H18" s="391">
        <v>24</v>
      </c>
      <c r="I18" s="16" t="s">
        <v>314</v>
      </c>
      <c r="J18" s="96">
        <v>24</v>
      </c>
      <c r="K18" s="231"/>
      <c r="L18" s="237" t="s">
        <v>284</v>
      </c>
      <c r="M18" s="19"/>
      <c r="N18" s="154"/>
      <c r="O18" s="155"/>
      <c r="P18" s="22"/>
      <c r="Q18" s="21"/>
      <c r="R18" s="23"/>
      <c r="S18" s="99">
        <v>1</v>
      </c>
      <c r="T18" s="100" t="s">
        <v>85</v>
      </c>
      <c r="U18" s="101"/>
      <c r="V18" s="102">
        <v>1.6</v>
      </c>
      <c r="W18" s="103">
        <v>0.41</v>
      </c>
      <c r="X18" s="104">
        <v>0.33</v>
      </c>
      <c r="Y18" s="105" t="s">
        <v>12</v>
      </c>
      <c r="Z18" s="103" t="s">
        <v>12</v>
      </c>
      <c r="AA18" s="104" t="s">
        <v>12</v>
      </c>
      <c r="AB18" s="105" t="s">
        <v>12</v>
      </c>
      <c r="AC18" s="103" t="s">
        <v>12</v>
      </c>
      <c r="AD18" s="106" t="s">
        <v>12</v>
      </c>
      <c r="AE18" s="99" t="s">
        <v>91</v>
      </c>
      <c r="AF18" s="107">
        <v>0.8</v>
      </c>
      <c r="AG18" s="108" t="s">
        <v>12</v>
      </c>
      <c r="AH18" s="109" t="s">
        <v>12</v>
      </c>
      <c r="AI18" s="107" t="s">
        <v>12</v>
      </c>
      <c r="AJ18" s="108" t="s">
        <v>12</v>
      </c>
      <c r="AK18" s="109" t="s">
        <v>12</v>
      </c>
      <c r="AL18" s="107" t="s">
        <v>12</v>
      </c>
      <c r="AM18" s="108" t="s">
        <v>12</v>
      </c>
      <c r="AN18" s="109" t="s">
        <v>12</v>
      </c>
      <c r="AO18" s="247"/>
      <c r="AP18" s="110"/>
      <c r="AQ18" s="111"/>
      <c r="AR18" s="129"/>
      <c r="AS18" s="475"/>
    </row>
    <row r="19" spans="1:45" ht="15.75" customHeight="1">
      <c r="A19" s="38"/>
      <c r="B19" s="39"/>
      <c r="C19" s="40"/>
      <c r="D19" s="41"/>
      <c r="E19" s="42"/>
      <c r="F19" s="41"/>
      <c r="G19" s="385"/>
      <c r="H19" s="43"/>
      <c r="I19" s="44"/>
      <c r="J19" s="45"/>
      <c r="K19" s="232"/>
      <c r="L19" s="238"/>
      <c r="M19" s="47"/>
      <c r="N19" s="48"/>
      <c r="O19" s="49"/>
      <c r="P19" s="50"/>
      <c r="Q19" s="51"/>
      <c r="R19" s="52"/>
      <c r="S19" s="53">
        <v>2</v>
      </c>
      <c r="T19" s="149" t="s">
        <v>85</v>
      </c>
      <c r="U19" s="156"/>
      <c r="V19" s="151">
        <v>1.6</v>
      </c>
      <c r="W19" s="139">
        <v>0.41</v>
      </c>
      <c r="X19" s="140">
        <v>0.32600000000000001</v>
      </c>
      <c r="Y19" s="141">
        <v>1.59</v>
      </c>
      <c r="Z19" s="139">
        <v>0.39500000000000002</v>
      </c>
      <c r="AA19" s="140">
        <v>0.31</v>
      </c>
      <c r="AB19" s="141">
        <v>0.28499999999999998</v>
      </c>
      <c r="AC19" s="139" t="s">
        <v>12</v>
      </c>
      <c r="AD19" s="142" t="s">
        <v>12</v>
      </c>
      <c r="AE19" s="53" t="s">
        <v>88</v>
      </c>
      <c r="AF19" s="59">
        <v>0.8</v>
      </c>
      <c r="AG19" s="60">
        <v>2.4</v>
      </c>
      <c r="AH19" s="61">
        <v>2.6</v>
      </c>
      <c r="AI19" s="59">
        <v>0.9</v>
      </c>
      <c r="AJ19" s="60">
        <v>2.2000000000000002</v>
      </c>
      <c r="AK19" s="61">
        <v>2.4500000000000002</v>
      </c>
      <c r="AL19" s="59" t="s">
        <v>12</v>
      </c>
      <c r="AM19" s="60" t="s">
        <v>12</v>
      </c>
      <c r="AN19" s="61" t="s">
        <v>12</v>
      </c>
      <c r="AO19" s="245"/>
      <c r="AP19" s="62"/>
      <c r="AQ19" s="63"/>
      <c r="AR19" s="64"/>
      <c r="AS19" s="474"/>
    </row>
    <row r="20" spans="1:45" ht="15.75" customHeight="1">
      <c r="A20" s="67" t="s">
        <v>56</v>
      </c>
      <c r="B20" s="68" t="s">
        <v>72</v>
      </c>
      <c r="C20" s="69"/>
      <c r="D20" s="70">
        <v>15</v>
      </c>
      <c r="E20" s="71">
        <v>0</v>
      </c>
      <c r="F20" s="70">
        <v>0</v>
      </c>
      <c r="G20" s="387">
        <v>86.6</v>
      </c>
      <c r="H20" s="72">
        <v>13.2</v>
      </c>
      <c r="I20" s="73" t="s">
        <v>314</v>
      </c>
      <c r="J20" s="74">
        <v>13.2</v>
      </c>
      <c r="K20" s="233"/>
      <c r="L20" s="239" t="s">
        <v>285</v>
      </c>
      <c r="M20" s="76" t="s">
        <v>274</v>
      </c>
      <c r="N20" s="77">
        <v>5.5</v>
      </c>
      <c r="O20" s="78">
        <v>30.25</v>
      </c>
      <c r="P20" s="79">
        <v>1.32</v>
      </c>
      <c r="Q20" s="80">
        <v>1.35</v>
      </c>
      <c r="R20" s="81">
        <v>1</v>
      </c>
      <c r="S20" s="68" t="s">
        <v>12</v>
      </c>
      <c r="T20" s="82" t="s">
        <v>82</v>
      </c>
      <c r="U20" s="83"/>
      <c r="V20" s="84">
        <v>1.28</v>
      </c>
      <c r="W20" s="85" t="s">
        <v>12</v>
      </c>
      <c r="X20" s="80" t="s">
        <v>12</v>
      </c>
      <c r="Y20" s="86">
        <v>1.34</v>
      </c>
      <c r="Z20" s="85" t="s">
        <v>12</v>
      </c>
      <c r="AA20" s="80" t="s">
        <v>12</v>
      </c>
      <c r="AB20" s="86" t="s">
        <v>12</v>
      </c>
      <c r="AC20" s="85" t="s">
        <v>12</v>
      </c>
      <c r="AD20" s="87" t="s">
        <v>12</v>
      </c>
      <c r="AE20" s="68" t="s">
        <v>91</v>
      </c>
      <c r="AF20" s="88">
        <v>0.37</v>
      </c>
      <c r="AG20" s="89" t="s">
        <v>12</v>
      </c>
      <c r="AH20" s="90" t="s">
        <v>12</v>
      </c>
      <c r="AI20" s="88">
        <v>0.27</v>
      </c>
      <c r="AJ20" s="89" t="s">
        <v>12</v>
      </c>
      <c r="AK20" s="90" t="s">
        <v>12</v>
      </c>
      <c r="AL20" s="88" t="s">
        <v>12</v>
      </c>
      <c r="AM20" s="89" t="s">
        <v>12</v>
      </c>
      <c r="AN20" s="90" t="s">
        <v>12</v>
      </c>
      <c r="AO20" s="246" t="s">
        <v>290</v>
      </c>
      <c r="AP20" s="91">
        <v>800</v>
      </c>
      <c r="AQ20" s="73">
        <v>800</v>
      </c>
      <c r="AR20" s="92"/>
      <c r="AS20" s="470"/>
    </row>
    <row r="21" spans="1:45" ht="15.75" customHeight="1">
      <c r="A21" s="67" t="s">
        <v>57</v>
      </c>
      <c r="B21" s="68" t="s">
        <v>75</v>
      </c>
      <c r="C21" s="69"/>
      <c r="D21" s="70">
        <v>7</v>
      </c>
      <c r="E21" s="71">
        <v>0</v>
      </c>
      <c r="F21" s="70">
        <v>0</v>
      </c>
      <c r="G21" s="387">
        <v>86.1</v>
      </c>
      <c r="H21" s="72">
        <v>12.9</v>
      </c>
      <c r="I21" s="73" t="s">
        <v>314</v>
      </c>
      <c r="J21" s="74">
        <v>12.9</v>
      </c>
      <c r="K21" s="233"/>
      <c r="L21" s="239" t="s">
        <v>285</v>
      </c>
      <c r="M21" s="76" t="s">
        <v>274</v>
      </c>
      <c r="N21" s="77">
        <v>4</v>
      </c>
      <c r="O21" s="78">
        <v>26</v>
      </c>
      <c r="P21" s="79">
        <v>1.25</v>
      </c>
      <c r="Q21" s="80">
        <v>1.25</v>
      </c>
      <c r="R21" s="81">
        <v>1</v>
      </c>
      <c r="S21" s="68" t="s">
        <v>12</v>
      </c>
      <c r="T21" s="82" t="s">
        <v>82</v>
      </c>
      <c r="U21" s="83"/>
      <c r="V21" s="84">
        <v>1.25</v>
      </c>
      <c r="W21" s="85" t="s">
        <v>12</v>
      </c>
      <c r="X21" s="80" t="s">
        <v>12</v>
      </c>
      <c r="Y21" s="86">
        <v>1.282</v>
      </c>
      <c r="Z21" s="85" t="s">
        <v>12</v>
      </c>
      <c r="AA21" s="80" t="s">
        <v>12</v>
      </c>
      <c r="AB21" s="86">
        <v>0.97099999999999997</v>
      </c>
      <c r="AC21" s="85" t="s">
        <v>12</v>
      </c>
      <c r="AD21" s="87" t="s">
        <v>12</v>
      </c>
      <c r="AE21" s="68" t="s">
        <v>91</v>
      </c>
      <c r="AF21" s="88">
        <v>0.5</v>
      </c>
      <c r="AG21" s="89" t="s">
        <v>12</v>
      </c>
      <c r="AH21" s="90" t="s">
        <v>12</v>
      </c>
      <c r="AI21" s="88">
        <v>0.3</v>
      </c>
      <c r="AJ21" s="89" t="s">
        <v>12</v>
      </c>
      <c r="AK21" s="90" t="s">
        <v>12</v>
      </c>
      <c r="AL21" s="88">
        <v>0.3</v>
      </c>
      <c r="AM21" s="89" t="s">
        <v>12</v>
      </c>
      <c r="AN21" s="90" t="s">
        <v>12</v>
      </c>
      <c r="AO21" s="251" t="s">
        <v>289</v>
      </c>
      <c r="AP21" s="91">
        <v>6.5</v>
      </c>
      <c r="AQ21" s="73">
        <v>7.4</v>
      </c>
      <c r="AR21" s="92">
        <v>8.6999999999999993</v>
      </c>
      <c r="AS21" s="470"/>
    </row>
    <row r="22" spans="1:45" ht="15.75" customHeight="1">
      <c r="A22" s="157" t="s">
        <v>58</v>
      </c>
      <c r="B22" s="158" t="s">
        <v>76</v>
      </c>
      <c r="C22" s="159">
        <v>1991</v>
      </c>
      <c r="D22" s="160">
        <v>5</v>
      </c>
      <c r="E22" s="161">
        <v>0</v>
      </c>
      <c r="F22" s="160">
        <v>2</v>
      </c>
      <c r="G22" s="386">
        <v>85.6</v>
      </c>
      <c r="H22" s="162">
        <v>15.8</v>
      </c>
      <c r="I22" s="163" t="s">
        <v>314</v>
      </c>
      <c r="J22" s="164">
        <v>15.8</v>
      </c>
      <c r="K22" s="234"/>
      <c r="L22" s="240" t="s">
        <v>284</v>
      </c>
      <c r="M22" s="166" t="s">
        <v>274</v>
      </c>
      <c r="N22" s="167">
        <v>6.6</v>
      </c>
      <c r="O22" s="168">
        <v>11</v>
      </c>
      <c r="P22" s="169">
        <v>1.95</v>
      </c>
      <c r="Q22" s="170">
        <v>1.95</v>
      </c>
      <c r="R22" s="171">
        <v>2</v>
      </c>
      <c r="S22" s="172">
        <v>1</v>
      </c>
      <c r="T22" s="9" t="s">
        <v>86</v>
      </c>
      <c r="U22" s="173" t="s">
        <v>25</v>
      </c>
      <c r="V22" s="174">
        <v>1.431</v>
      </c>
      <c r="W22" s="175" t="s">
        <v>12</v>
      </c>
      <c r="X22" s="176" t="s">
        <v>12</v>
      </c>
      <c r="Y22" s="177">
        <v>2.0409999999999999</v>
      </c>
      <c r="Z22" s="175" t="s">
        <v>12</v>
      </c>
      <c r="AA22" s="176" t="s">
        <v>12</v>
      </c>
      <c r="AB22" s="177" t="s">
        <v>12</v>
      </c>
      <c r="AC22" s="175" t="s">
        <v>12</v>
      </c>
      <c r="AD22" s="178" t="s">
        <v>12</v>
      </c>
      <c r="AE22" s="172" t="s">
        <v>253</v>
      </c>
      <c r="AF22" s="179">
        <v>1.4</v>
      </c>
      <c r="AG22" s="108" t="s">
        <v>12</v>
      </c>
      <c r="AH22" s="109" t="s">
        <v>12</v>
      </c>
      <c r="AI22" s="179">
        <v>1.4</v>
      </c>
      <c r="AJ22" s="108" t="s">
        <v>12</v>
      </c>
      <c r="AK22" s="180" t="s">
        <v>12</v>
      </c>
      <c r="AL22" s="107" t="s">
        <v>12</v>
      </c>
      <c r="AM22" s="108" t="s">
        <v>12</v>
      </c>
      <c r="AN22" s="109" t="s">
        <v>12</v>
      </c>
      <c r="AO22" s="252" t="s">
        <v>290</v>
      </c>
      <c r="AP22" s="181">
        <v>100</v>
      </c>
      <c r="AQ22" s="182">
        <v>65</v>
      </c>
      <c r="AR22" s="112"/>
      <c r="AS22" s="472"/>
    </row>
    <row r="23" spans="1:45" ht="15.75" customHeight="1">
      <c r="A23" s="12"/>
      <c r="B23" s="13"/>
      <c r="C23" s="14"/>
      <c r="D23" s="424"/>
      <c r="E23" s="15"/>
      <c r="F23" s="424"/>
      <c r="G23" s="388"/>
      <c r="H23" s="391"/>
      <c r="I23" s="16"/>
      <c r="J23" s="96"/>
      <c r="K23" s="231"/>
      <c r="L23" s="237"/>
      <c r="M23" s="19"/>
      <c r="N23" s="97"/>
      <c r="O23" s="98"/>
      <c r="P23" s="22"/>
      <c r="Q23" s="21"/>
      <c r="R23" s="23"/>
      <c r="S23" s="99" t="s">
        <v>0</v>
      </c>
      <c r="T23" s="18" t="s">
        <v>84</v>
      </c>
      <c r="U23" s="19"/>
      <c r="V23" s="133">
        <f>1/0.65435484</f>
        <v>1.5282228217338472</v>
      </c>
      <c r="W23" s="119" t="s">
        <v>12</v>
      </c>
      <c r="X23" s="120" t="s">
        <v>12</v>
      </c>
      <c r="Y23" s="134">
        <f>1/0.66286577</f>
        <v>1.5086010550823887</v>
      </c>
      <c r="Z23" s="119" t="s">
        <v>12</v>
      </c>
      <c r="AA23" s="120" t="s">
        <v>12</v>
      </c>
      <c r="AB23" s="121" t="s">
        <v>12</v>
      </c>
      <c r="AC23" s="119" t="s">
        <v>12</v>
      </c>
      <c r="AD23" s="122" t="s">
        <v>12</v>
      </c>
      <c r="AE23" s="13" t="s">
        <v>90</v>
      </c>
      <c r="AF23" s="135">
        <v>1.7619590000000001</v>
      </c>
      <c r="AG23" s="125" t="s">
        <v>12</v>
      </c>
      <c r="AH23" s="126" t="s">
        <v>12</v>
      </c>
      <c r="AI23" s="135">
        <v>1.4457732999999999</v>
      </c>
      <c r="AJ23" s="125" t="s">
        <v>12</v>
      </c>
      <c r="AK23" s="185" t="s">
        <v>12</v>
      </c>
      <c r="AL23" s="124" t="s">
        <v>12</v>
      </c>
      <c r="AM23" s="125" t="s">
        <v>12</v>
      </c>
      <c r="AN23" s="126" t="s">
        <v>12</v>
      </c>
      <c r="AO23" s="237" t="s">
        <v>289</v>
      </c>
      <c r="AP23" s="110">
        <v>0.60299999999999998</v>
      </c>
      <c r="AQ23" s="111">
        <v>0.20599999999999999</v>
      </c>
      <c r="AR23" s="129"/>
      <c r="AS23" s="473" t="s">
        <v>382</v>
      </c>
    </row>
    <row r="24" spans="1:45" ht="15.75" customHeight="1">
      <c r="A24" s="38"/>
      <c r="B24" s="39"/>
      <c r="C24" s="40"/>
      <c r="D24" s="41"/>
      <c r="E24" s="42"/>
      <c r="F24" s="41"/>
      <c r="G24" s="385"/>
      <c r="H24" s="43"/>
      <c r="I24" s="44"/>
      <c r="J24" s="45"/>
      <c r="K24" s="232"/>
      <c r="L24" s="238"/>
      <c r="M24" s="47"/>
      <c r="N24" s="48"/>
      <c r="O24" s="49"/>
      <c r="P24" s="50"/>
      <c r="Q24" s="51"/>
      <c r="R24" s="52"/>
      <c r="S24" s="39" t="s">
        <v>1</v>
      </c>
      <c r="T24" s="54"/>
      <c r="U24" s="54"/>
      <c r="V24" s="186">
        <f>1/0.63287781</f>
        <v>1.580083839564544</v>
      </c>
      <c r="W24" s="139" t="s">
        <v>12</v>
      </c>
      <c r="X24" s="140" t="s">
        <v>12</v>
      </c>
      <c r="Y24" s="187">
        <f>1/0.64358685</f>
        <v>1.5537918464306719</v>
      </c>
      <c r="Z24" s="139" t="s">
        <v>12</v>
      </c>
      <c r="AA24" s="140" t="s">
        <v>12</v>
      </c>
      <c r="AB24" s="141" t="s">
        <v>12</v>
      </c>
      <c r="AC24" s="139" t="s">
        <v>12</v>
      </c>
      <c r="AD24" s="142" t="s">
        <v>12</v>
      </c>
      <c r="AE24" s="39"/>
      <c r="AF24" s="188">
        <v>2.3945568000000002</v>
      </c>
      <c r="AG24" s="60" t="s">
        <v>12</v>
      </c>
      <c r="AH24" s="61" t="s">
        <v>12</v>
      </c>
      <c r="AI24" s="143">
        <v>2.4748535</v>
      </c>
      <c r="AJ24" s="60" t="s">
        <v>12</v>
      </c>
      <c r="AK24" s="189" t="s">
        <v>12</v>
      </c>
      <c r="AL24" s="59" t="s">
        <v>12</v>
      </c>
      <c r="AM24" s="60" t="s">
        <v>12</v>
      </c>
      <c r="AN24" s="190" t="s">
        <v>12</v>
      </c>
      <c r="AO24" s="250"/>
      <c r="AP24" s="147">
        <v>10.199999999999999</v>
      </c>
      <c r="AQ24" s="44">
        <v>6.67</v>
      </c>
      <c r="AR24" s="64"/>
      <c r="AS24" s="474" t="s">
        <v>383</v>
      </c>
    </row>
    <row r="25" spans="1:45" ht="15.75" customHeight="1">
      <c r="A25" s="12" t="s">
        <v>59</v>
      </c>
      <c r="B25" s="13" t="s">
        <v>68</v>
      </c>
      <c r="C25" s="14"/>
      <c r="D25" s="424">
        <v>14</v>
      </c>
      <c r="E25" s="15">
        <v>1</v>
      </c>
      <c r="F25" s="424">
        <v>0</v>
      </c>
      <c r="G25" s="388">
        <v>77.099999999999994</v>
      </c>
      <c r="H25" s="391">
        <v>6.3</v>
      </c>
      <c r="I25" s="16" t="s">
        <v>314</v>
      </c>
      <c r="J25" s="96">
        <v>14.1</v>
      </c>
      <c r="K25" s="231"/>
      <c r="L25" s="237" t="s">
        <v>285</v>
      </c>
      <c r="M25" s="19" t="s">
        <v>274</v>
      </c>
      <c r="N25" s="97">
        <v>11.1</v>
      </c>
      <c r="O25" s="98">
        <v>52</v>
      </c>
      <c r="P25" s="22">
        <v>1.4710000000000001</v>
      </c>
      <c r="Q25" s="21">
        <v>1.351</v>
      </c>
      <c r="R25" s="23">
        <v>1</v>
      </c>
      <c r="S25" s="99">
        <v>1</v>
      </c>
      <c r="T25" s="100" t="s">
        <v>82</v>
      </c>
      <c r="U25" s="101" t="s">
        <v>25</v>
      </c>
      <c r="V25" s="102">
        <v>0.97099999999999997</v>
      </c>
      <c r="W25" s="103" t="s">
        <v>12</v>
      </c>
      <c r="X25" s="104" t="s">
        <v>12</v>
      </c>
      <c r="Y25" s="105" t="s">
        <v>12</v>
      </c>
      <c r="Z25" s="103" t="s">
        <v>12</v>
      </c>
      <c r="AA25" s="104" t="s">
        <v>12</v>
      </c>
      <c r="AB25" s="105" t="s">
        <v>12</v>
      </c>
      <c r="AC25" s="103" t="s">
        <v>12</v>
      </c>
      <c r="AD25" s="106" t="s">
        <v>12</v>
      </c>
      <c r="AE25" s="99" t="s">
        <v>91</v>
      </c>
      <c r="AF25" s="107">
        <v>0.38</v>
      </c>
      <c r="AG25" s="108" t="s">
        <v>12</v>
      </c>
      <c r="AH25" s="109" t="s">
        <v>12</v>
      </c>
      <c r="AI25" s="107" t="s">
        <v>12</v>
      </c>
      <c r="AJ25" s="108" t="s">
        <v>12</v>
      </c>
      <c r="AK25" s="109" t="s">
        <v>12</v>
      </c>
      <c r="AL25" s="107" t="s">
        <v>12</v>
      </c>
      <c r="AM25" s="108" t="s">
        <v>12</v>
      </c>
      <c r="AN25" s="109" t="s">
        <v>12</v>
      </c>
      <c r="AO25" s="247" t="s">
        <v>290</v>
      </c>
      <c r="AP25" s="110">
        <v>850</v>
      </c>
      <c r="AQ25" s="111"/>
      <c r="AR25" s="129"/>
      <c r="AS25" s="475"/>
    </row>
    <row r="26" spans="1:45" ht="15.75" customHeight="1">
      <c r="A26" s="12"/>
      <c r="B26" s="13"/>
      <c r="C26" s="14"/>
      <c r="D26" s="424"/>
      <c r="E26" s="15"/>
      <c r="F26" s="424"/>
      <c r="G26" s="388"/>
      <c r="H26" s="391"/>
      <c r="I26" s="16"/>
      <c r="J26" s="96"/>
      <c r="K26" s="231"/>
      <c r="L26" s="237"/>
      <c r="M26" s="19"/>
      <c r="N26" s="97"/>
      <c r="O26" s="98"/>
      <c r="P26" s="22"/>
      <c r="Q26" s="21"/>
      <c r="R26" s="23"/>
      <c r="S26" s="115">
        <v>2</v>
      </c>
      <c r="T26" s="148" t="s">
        <v>86</v>
      </c>
      <c r="U26" s="117"/>
      <c r="V26" s="118">
        <v>0.97099999999999997</v>
      </c>
      <c r="W26" s="119">
        <v>0.29399999999999998</v>
      </c>
      <c r="X26" s="120">
        <v>0.16900000000000001</v>
      </c>
      <c r="Y26" s="121" t="s">
        <v>12</v>
      </c>
      <c r="Z26" s="119" t="s">
        <v>12</v>
      </c>
      <c r="AA26" s="120" t="s">
        <v>12</v>
      </c>
      <c r="AB26" s="121" t="s">
        <v>12</v>
      </c>
      <c r="AC26" s="119" t="s">
        <v>12</v>
      </c>
      <c r="AD26" s="122" t="s">
        <v>12</v>
      </c>
      <c r="AE26" s="115" t="s">
        <v>90</v>
      </c>
      <c r="AF26" s="124">
        <v>0.26</v>
      </c>
      <c r="AG26" s="125">
        <v>0.74</v>
      </c>
      <c r="AH26" s="126">
        <v>2.09</v>
      </c>
      <c r="AI26" s="124" t="s">
        <v>12</v>
      </c>
      <c r="AJ26" s="125" t="s">
        <v>12</v>
      </c>
      <c r="AK26" s="126" t="s">
        <v>12</v>
      </c>
      <c r="AL26" s="124" t="s">
        <v>12</v>
      </c>
      <c r="AM26" s="125" t="s">
        <v>12</v>
      </c>
      <c r="AN26" s="126" t="s">
        <v>12</v>
      </c>
      <c r="AO26" s="248"/>
      <c r="AP26" s="127"/>
      <c r="AQ26" s="128"/>
      <c r="AR26" s="137"/>
      <c r="AS26" s="473"/>
    </row>
    <row r="27" spans="1:45" ht="15.75" customHeight="1">
      <c r="A27" s="12"/>
      <c r="B27" s="13"/>
      <c r="C27" s="14"/>
      <c r="D27" s="424"/>
      <c r="E27" s="15"/>
      <c r="F27" s="424"/>
      <c r="G27" s="388"/>
      <c r="H27" s="391"/>
      <c r="I27" s="16"/>
      <c r="J27" s="96"/>
      <c r="K27" s="231"/>
      <c r="L27" s="237"/>
      <c r="M27" s="19"/>
      <c r="N27" s="97"/>
      <c r="O27" s="98"/>
      <c r="P27" s="22"/>
      <c r="Q27" s="21"/>
      <c r="R27" s="23"/>
      <c r="S27" s="115">
        <v>3</v>
      </c>
      <c r="T27" s="148" t="s">
        <v>82</v>
      </c>
      <c r="U27" s="117" t="s">
        <v>19</v>
      </c>
      <c r="V27" s="118">
        <v>1.3</v>
      </c>
      <c r="W27" s="119" t="s">
        <v>12</v>
      </c>
      <c r="X27" s="120" t="s">
        <v>12</v>
      </c>
      <c r="Y27" s="121">
        <v>1.02</v>
      </c>
      <c r="Z27" s="119" t="s">
        <v>12</v>
      </c>
      <c r="AA27" s="120" t="s">
        <v>12</v>
      </c>
      <c r="AB27" s="121" t="s">
        <v>12</v>
      </c>
      <c r="AC27" s="119" t="s">
        <v>12</v>
      </c>
      <c r="AD27" s="122" t="s">
        <v>12</v>
      </c>
      <c r="AE27" s="115" t="s">
        <v>91</v>
      </c>
      <c r="AF27" s="124">
        <v>0.77</v>
      </c>
      <c r="AG27" s="125" t="s">
        <v>12</v>
      </c>
      <c r="AH27" s="126" t="s">
        <v>12</v>
      </c>
      <c r="AI27" s="124">
        <v>1.45</v>
      </c>
      <c r="AJ27" s="108" t="s">
        <v>12</v>
      </c>
      <c r="AK27" s="126" t="s">
        <v>12</v>
      </c>
      <c r="AL27" s="124" t="s">
        <v>12</v>
      </c>
      <c r="AM27" s="108" t="s">
        <v>12</v>
      </c>
      <c r="AN27" s="109" t="s">
        <v>12</v>
      </c>
      <c r="AO27" s="248" t="s">
        <v>290</v>
      </c>
      <c r="AP27" s="127">
        <v>120</v>
      </c>
      <c r="AQ27" s="128"/>
      <c r="AR27" s="137"/>
      <c r="AS27" s="473"/>
    </row>
    <row r="28" spans="1:45" ht="15.75" customHeight="1">
      <c r="A28" s="12"/>
      <c r="B28" s="13"/>
      <c r="C28" s="14"/>
      <c r="D28" s="424"/>
      <c r="E28" s="15"/>
      <c r="F28" s="424"/>
      <c r="G28" s="388"/>
      <c r="H28" s="391"/>
      <c r="I28" s="16"/>
      <c r="J28" s="96"/>
      <c r="K28" s="231"/>
      <c r="L28" s="237"/>
      <c r="M28" s="19"/>
      <c r="N28" s="97"/>
      <c r="O28" s="98"/>
      <c r="P28" s="22"/>
      <c r="Q28" s="21"/>
      <c r="R28" s="23"/>
      <c r="S28" s="99" t="s">
        <v>5</v>
      </c>
      <c r="T28" s="18" t="s">
        <v>84</v>
      </c>
      <c r="U28" s="19"/>
      <c r="V28" s="133">
        <f>1/0.76717524</f>
        <v>1.3034831520370755</v>
      </c>
      <c r="W28" s="119" t="s">
        <v>12</v>
      </c>
      <c r="X28" s="120" t="s">
        <v>12</v>
      </c>
      <c r="Y28" s="134">
        <f>1/0.97810213</f>
        <v>1.0223881221892441</v>
      </c>
      <c r="Z28" s="119" t="s">
        <v>12</v>
      </c>
      <c r="AA28" s="120" t="s">
        <v>12</v>
      </c>
      <c r="AB28" s="121" t="s">
        <v>12</v>
      </c>
      <c r="AC28" s="119" t="s">
        <v>12</v>
      </c>
      <c r="AD28" s="122" t="s">
        <v>12</v>
      </c>
      <c r="AE28" s="13" t="s">
        <v>90</v>
      </c>
      <c r="AF28" s="135">
        <v>0.78</v>
      </c>
      <c r="AG28" s="125" t="s">
        <v>12</v>
      </c>
      <c r="AH28" s="126" t="s">
        <v>12</v>
      </c>
      <c r="AI28" s="135">
        <v>0.74739648999999997</v>
      </c>
      <c r="AJ28" s="125" t="s">
        <v>12</v>
      </c>
      <c r="AK28" s="185" t="s">
        <v>12</v>
      </c>
      <c r="AL28" s="124" t="s">
        <v>12</v>
      </c>
      <c r="AM28" s="125" t="s">
        <v>12</v>
      </c>
      <c r="AN28" s="126" t="s">
        <v>12</v>
      </c>
      <c r="AO28" s="237" t="s">
        <v>289</v>
      </c>
      <c r="AP28" s="110">
        <v>1.5299999999999999E-2</v>
      </c>
      <c r="AQ28" s="111">
        <v>1.03E-2</v>
      </c>
      <c r="AR28" s="129"/>
      <c r="AS28" s="473" t="s">
        <v>382</v>
      </c>
    </row>
    <row r="29" spans="1:45" ht="15.75" customHeight="1">
      <c r="A29" s="38"/>
      <c r="B29" s="39"/>
      <c r="C29" s="40"/>
      <c r="D29" s="41"/>
      <c r="E29" s="42"/>
      <c r="F29" s="41"/>
      <c r="G29" s="385"/>
      <c r="H29" s="43"/>
      <c r="I29" s="44"/>
      <c r="J29" s="45"/>
      <c r="K29" s="232"/>
      <c r="L29" s="238"/>
      <c r="M29" s="47"/>
      <c r="N29" s="48"/>
      <c r="O29" s="49"/>
      <c r="P29" s="50"/>
      <c r="Q29" s="51"/>
      <c r="R29" s="52"/>
      <c r="S29" s="39" t="s">
        <v>6</v>
      </c>
      <c r="T29" s="54"/>
      <c r="U29" s="54"/>
      <c r="V29" s="186">
        <f>1/0.74490591</f>
        <v>1.3424514245027268</v>
      </c>
      <c r="W29" s="139" t="s">
        <v>12</v>
      </c>
      <c r="X29" s="140" t="s">
        <v>12</v>
      </c>
      <c r="Y29" s="187">
        <f>1/0.95657675</f>
        <v>1.0453944233957182</v>
      </c>
      <c r="Z29" s="139" t="s">
        <v>12</v>
      </c>
      <c r="AA29" s="140" t="s">
        <v>12</v>
      </c>
      <c r="AB29" s="141" t="s">
        <v>12</v>
      </c>
      <c r="AC29" s="139" t="s">
        <v>12</v>
      </c>
      <c r="AD29" s="318" t="s">
        <v>12</v>
      </c>
      <c r="AE29" s="13"/>
      <c r="AF29" s="188">
        <v>1.0212114999999999</v>
      </c>
      <c r="AG29" s="60" t="s">
        <v>12</v>
      </c>
      <c r="AH29" s="61" t="s">
        <v>12</v>
      </c>
      <c r="AI29" s="188">
        <v>0.99748979000000004</v>
      </c>
      <c r="AJ29" s="60" t="s">
        <v>12</v>
      </c>
      <c r="AK29" s="189" t="s">
        <v>12</v>
      </c>
      <c r="AL29" s="59" t="s">
        <v>12</v>
      </c>
      <c r="AM29" s="60" t="s">
        <v>12</v>
      </c>
      <c r="AN29" s="190" t="s">
        <v>12</v>
      </c>
      <c r="AO29" s="250"/>
      <c r="AP29" s="147">
        <v>0.63200000000000001</v>
      </c>
      <c r="AQ29" s="44">
        <v>0.309</v>
      </c>
      <c r="AR29" s="64"/>
      <c r="AS29" s="474" t="s">
        <v>383</v>
      </c>
    </row>
    <row r="30" spans="1:45" ht="15.75" customHeight="1">
      <c r="A30" s="12" t="s">
        <v>60</v>
      </c>
      <c r="B30" s="13"/>
      <c r="C30" s="14"/>
      <c r="D30" s="424"/>
      <c r="E30" s="15"/>
      <c r="F30" s="424"/>
      <c r="G30" s="388">
        <v>60</v>
      </c>
      <c r="H30" s="391">
        <v>6.3</v>
      </c>
      <c r="I30" s="16" t="s">
        <v>314</v>
      </c>
      <c r="J30" s="96">
        <v>8.3000000000000007</v>
      </c>
      <c r="K30" s="231"/>
      <c r="L30" s="237" t="s">
        <v>281</v>
      </c>
      <c r="M30" s="19" t="s">
        <v>273</v>
      </c>
      <c r="N30" s="97">
        <v>7.3</v>
      </c>
      <c r="O30" s="21"/>
      <c r="P30" s="22"/>
      <c r="Q30" s="21"/>
      <c r="R30" s="23"/>
      <c r="S30" s="99">
        <v>1</v>
      </c>
      <c r="T30" s="100" t="s">
        <v>85</v>
      </c>
      <c r="U30" s="101"/>
      <c r="V30" s="102">
        <v>1.08</v>
      </c>
      <c r="W30" s="103">
        <v>0.27</v>
      </c>
      <c r="X30" s="104" t="s">
        <v>12</v>
      </c>
      <c r="Y30" s="105" t="s">
        <v>12</v>
      </c>
      <c r="Z30" s="103" t="s">
        <v>12</v>
      </c>
      <c r="AA30" s="104" t="s">
        <v>12</v>
      </c>
      <c r="AB30" s="105">
        <v>0.43</v>
      </c>
      <c r="AC30" s="103" t="s">
        <v>12</v>
      </c>
      <c r="AD30" s="592" t="s">
        <v>12</v>
      </c>
      <c r="AE30" s="593" t="s">
        <v>399</v>
      </c>
      <c r="AF30" s="589">
        <v>1.6</v>
      </c>
      <c r="AG30" s="108" t="s">
        <v>12</v>
      </c>
      <c r="AH30" s="109" t="s">
        <v>12</v>
      </c>
      <c r="AI30" s="107" t="s">
        <v>12</v>
      </c>
      <c r="AJ30" s="108" t="s">
        <v>12</v>
      </c>
      <c r="AK30" s="109" t="s">
        <v>12</v>
      </c>
      <c r="AL30" s="107" t="s">
        <v>12</v>
      </c>
      <c r="AM30" s="108" t="s">
        <v>12</v>
      </c>
      <c r="AN30" s="109" t="s">
        <v>12</v>
      </c>
      <c r="AO30" s="247" t="s">
        <v>289</v>
      </c>
      <c r="AP30" s="110">
        <v>2.5</v>
      </c>
      <c r="AQ30" s="111"/>
      <c r="AR30" s="129"/>
      <c r="AS30" s="475"/>
    </row>
    <row r="31" spans="1:45" ht="15.75" customHeight="1">
      <c r="A31" s="38"/>
      <c r="B31" s="39"/>
      <c r="C31" s="40"/>
      <c r="D31" s="41"/>
      <c r="E31" s="42"/>
      <c r="F31" s="41"/>
      <c r="G31" s="385"/>
      <c r="H31" s="43"/>
      <c r="I31" s="44"/>
      <c r="J31" s="45"/>
      <c r="K31" s="232"/>
      <c r="L31" s="238"/>
      <c r="M31" s="47"/>
      <c r="N31" s="48"/>
      <c r="O31" s="49"/>
      <c r="P31" s="50"/>
      <c r="Q31" s="51"/>
      <c r="R31" s="52"/>
      <c r="S31" s="53">
        <v>2</v>
      </c>
      <c r="T31" s="149" t="s">
        <v>85</v>
      </c>
      <c r="U31" s="156"/>
      <c r="V31" s="151" t="s">
        <v>12</v>
      </c>
      <c r="W31" s="139" t="s">
        <v>12</v>
      </c>
      <c r="X31" s="140" t="s">
        <v>12</v>
      </c>
      <c r="Y31" s="141" t="s">
        <v>12</v>
      </c>
      <c r="Z31" s="139" t="s">
        <v>12</v>
      </c>
      <c r="AA31" s="140" t="s">
        <v>12</v>
      </c>
      <c r="AB31" s="141" t="s">
        <v>12</v>
      </c>
      <c r="AC31" s="139" t="s">
        <v>12</v>
      </c>
      <c r="AD31" s="142" t="s">
        <v>12</v>
      </c>
      <c r="AE31" s="39" t="s">
        <v>91</v>
      </c>
      <c r="AF31" s="59">
        <v>0.96</v>
      </c>
      <c r="AG31" s="60" t="s">
        <v>12</v>
      </c>
      <c r="AH31" s="61" t="s">
        <v>12</v>
      </c>
      <c r="AI31" s="59">
        <v>1.2</v>
      </c>
      <c r="AJ31" s="60" t="s">
        <v>12</v>
      </c>
      <c r="AK31" s="61" t="s">
        <v>12</v>
      </c>
      <c r="AL31" s="59" t="s">
        <v>12</v>
      </c>
      <c r="AM31" s="60" t="s">
        <v>12</v>
      </c>
      <c r="AN31" s="61" t="s">
        <v>12</v>
      </c>
      <c r="AO31" s="245" t="s">
        <v>289</v>
      </c>
      <c r="AP31" s="62">
        <v>5</v>
      </c>
      <c r="AQ31" s="63"/>
      <c r="AR31" s="64"/>
      <c r="AS31" s="474"/>
    </row>
    <row r="32" spans="1:45" ht="15.75" customHeight="1">
      <c r="A32" s="12" t="s">
        <v>61</v>
      </c>
      <c r="B32" s="13" t="s">
        <v>76</v>
      </c>
      <c r="C32" s="14"/>
      <c r="D32" s="424">
        <v>14</v>
      </c>
      <c r="E32" s="15">
        <v>0</v>
      </c>
      <c r="F32" s="424">
        <v>0</v>
      </c>
      <c r="G32" s="388">
        <v>42</v>
      </c>
      <c r="H32" s="391">
        <v>5.2</v>
      </c>
      <c r="I32" s="16" t="s">
        <v>314</v>
      </c>
      <c r="J32" s="96">
        <v>5.2</v>
      </c>
      <c r="K32" s="231"/>
      <c r="L32" s="237" t="s">
        <v>285</v>
      </c>
      <c r="M32" s="19"/>
      <c r="N32" s="154"/>
      <c r="O32" s="155"/>
      <c r="P32" s="22"/>
      <c r="Q32" s="21"/>
      <c r="R32" s="23"/>
      <c r="S32" s="99">
        <v>1</v>
      </c>
      <c r="T32" s="100" t="s">
        <v>82</v>
      </c>
      <c r="U32" s="101"/>
      <c r="V32" s="102">
        <v>0.93500000000000005</v>
      </c>
      <c r="W32" s="103" t="s">
        <v>12</v>
      </c>
      <c r="X32" s="104" t="s">
        <v>12</v>
      </c>
      <c r="Y32" s="105">
        <v>0.93500000000000005</v>
      </c>
      <c r="Z32" s="103" t="s">
        <v>12</v>
      </c>
      <c r="AA32" s="104" t="s">
        <v>12</v>
      </c>
      <c r="AB32" s="105" t="s">
        <v>12</v>
      </c>
      <c r="AC32" s="103" t="s">
        <v>12</v>
      </c>
      <c r="AD32" s="106" t="s">
        <v>12</v>
      </c>
      <c r="AE32" s="99" t="s">
        <v>91</v>
      </c>
      <c r="AF32" s="107">
        <v>0.93</v>
      </c>
      <c r="AG32" s="108" t="s">
        <v>12</v>
      </c>
      <c r="AH32" s="109" t="s">
        <v>12</v>
      </c>
      <c r="AI32" s="107">
        <v>0.93</v>
      </c>
      <c r="AJ32" s="108" t="s">
        <v>12</v>
      </c>
      <c r="AK32" s="109" t="s">
        <v>12</v>
      </c>
      <c r="AL32" s="107" t="s">
        <v>12</v>
      </c>
      <c r="AM32" s="108" t="s">
        <v>12</v>
      </c>
      <c r="AN32" s="109" t="s">
        <v>12</v>
      </c>
      <c r="AO32" s="247" t="s">
        <v>289</v>
      </c>
      <c r="AP32" s="110">
        <v>790</v>
      </c>
      <c r="AQ32" s="111"/>
      <c r="AR32" s="129"/>
      <c r="AS32" s="475"/>
    </row>
    <row r="33" spans="1:45" ht="15.75" customHeight="1">
      <c r="A33" s="12"/>
      <c r="B33" s="13"/>
      <c r="C33" s="14"/>
      <c r="D33" s="424"/>
      <c r="E33" s="15"/>
      <c r="F33" s="424"/>
      <c r="G33" s="388"/>
      <c r="H33" s="391"/>
      <c r="I33" s="16"/>
      <c r="J33" s="96"/>
      <c r="K33" s="231"/>
      <c r="L33" s="237"/>
      <c r="M33" s="19"/>
      <c r="N33" s="97"/>
      <c r="O33" s="98"/>
      <c r="P33" s="22"/>
      <c r="Q33" s="21"/>
      <c r="R33" s="23"/>
      <c r="S33" s="115">
        <v>2</v>
      </c>
      <c r="T33" s="148" t="s">
        <v>84</v>
      </c>
      <c r="U33" s="117"/>
      <c r="V33" s="118">
        <v>0.93500000000000005</v>
      </c>
      <c r="W33" s="119" t="s">
        <v>12</v>
      </c>
      <c r="X33" s="120" t="s">
        <v>12</v>
      </c>
      <c r="Y33" s="121" t="s">
        <v>12</v>
      </c>
      <c r="Z33" s="119" t="s">
        <v>12</v>
      </c>
      <c r="AA33" s="120" t="s">
        <v>12</v>
      </c>
      <c r="AB33" s="121" t="s">
        <v>12</v>
      </c>
      <c r="AC33" s="119" t="s">
        <v>12</v>
      </c>
      <c r="AD33" s="122" t="s">
        <v>12</v>
      </c>
      <c r="AE33" s="115" t="s">
        <v>90</v>
      </c>
      <c r="AF33" s="124">
        <v>0.84</v>
      </c>
      <c r="AG33" s="125" t="s">
        <v>12</v>
      </c>
      <c r="AH33" s="126" t="s">
        <v>12</v>
      </c>
      <c r="AI33" s="124" t="s">
        <v>12</v>
      </c>
      <c r="AJ33" s="125" t="s">
        <v>12</v>
      </c>
      <c r="AK33" s="126" t="s">
        <v>12</v>
      </c>
      <c r="AL33" s="124" t="s">
        <v>12</v>
      </c>
      <c r="AM33" s="125" t="s">
        <v>12</v>
      </c>
      <c r="AN33" s="126" t="s">
        <v>12</v>
      </c>
      <c r="AO33" s="248" t="s">
        <v>289</v>
      </c>
      <c r="AP33" s="191" t="s">
        <v>14</v>
      </c>
      <c r="AQ33" s="128"/>
      <c r="AR33" s="137"/>
      <c r="AS33" s="473"/>
    </row>
    <row r="34" spans="1:45" ht="15.75" customHeight="1">
      <c r="A34" s="12"/>
      <c r="B34" s="13"/>
      <c r="C34" s="14"/>
      <c r="D34" s="424"/>
      <c r="E34" s="15"/>
      <c r="F34" s="424"/>
      <c r="G34" s="388"/>
      <c r="H34" s="391"/>
      <c r="I34" s="16"/>
      <c r="J34" s="96"/>
      <c r="K34" s="231"/>
      <c r="L34" s="237"/>
      <c r="M34" s="19"/>
      <c r="N34" s="97"/>
      <c r="O34" s="98"/>
      <c r="P34" s="22"/>
      <c r="Q34" s="21"/>
      <c r="R34" s="23"/>
      <c r="S34" s="99" t="s">
        <v>2</v>
      </c>
      <c r="T34" s="18" t="s">
        <v>84</v>
      </c>
      <c r="U34" s="19"/>
      <c r="V34" s="133">
        <f>1/1.0462142</f>
        <v>0.95582721014492056</v>
      </c>
      <c r="W34" s="119" t="s">
        <v>12</v>
      </c>
      <c r="X34" s="120" t="s">
        <v>12</v>
      </c>
      <c r="Y34" s="134">
        <f>1/1.0344692</f>
        <v>0.9666793366105052</v>
      </c>
      <c r="Z34" s="119" t="s">
        <v>12</v>
      </c>
      <c r="AA34" s="120" t="s">
        <v>12</v>
      </c>
      <c r="AB34" s="121" t="s">
        <v>12</v>
      </c>
      <c r="AC34" s="119" t="s">
        <v>12</v>
      </c>
      <c r="AD34" s="122" t="s">
        <v>12</v>
      </c>
      <c r="AE34" s="13" t="s">
        <v>90</v>
      </c>
      <c r="AF34" s="135">
        <v>0.78639767999999999</v>
      </c>
      <c r="AG34" s="125" t="s">
        <v>12</v>
      </c>
      <c r="AH34" s="126" t="s">
        <v>12</v>
      </c>
      <c r="AI34" s="135">
        <v>0.69415503000000001</v>
      </c>
      <c r="AJ34" s="125" t="s">
        <v>12</v>
      </c>
      <c r="AK34" s="185" t="s">
        <v>12</v>
      </c>
      <c r="AL34" s="124" t="s">
        <v>12</v>
      </c>
      <c r="AM34" s="125" t="s">
        <v>12</v>
      </c>
      <c r="AN34" s="126" t="s">
        <v>12</v>
      </c>
      <c r="AO34" s="237" t="s">
        <v>289</v>
      </c>
      <c r="AP34" s="110">
        <v>0.115</v>
      </c>
      <c r="AQ34" s="111">
        <v>9.8100000000000007E-2</v>
      </c>
      <c r="AR34" s="129"/>
      <c r="AS34" s="473" t="s">
        <v>382</v>
      </c>
    </row>
    <row r="35" spans="1:45" ht="15.75" customHeight="1">
      <c r="A35" s="38"/>
      <c r="B35" s="39"/>
      <c r="C35" s="40"/>
      <c r="D35" s="41"/>
      <c r="E35" s="42"/>
      <c r="F35" s="41"/>
      <c r="G35" s="385"/>
      <c r="H35" s="43"/>
      <c r="I35" s="44"/>
      <c r="J35" s="45"/>
      <c r="K35" s="232"/>
      <c r="L35" s="238"/>
      <c r="M35" s="47"/>
      <c r="N35" s="48"/>
      <c r="O35" s="49"/>
      <c r="P35" s="50"/>
      <c r="Q35" s="51"/>
      <c r="R35" s="52"/>
      <c r="S35" s="39" t="s">
        <v>13</v>
      </c>
      <c r="T35" s="54"/>
      <c r="U35" s="54"/>
      <c r="V35" s="192">
        <f>1/1.0382047</f>
        <v>0.96320118758853612</v>
      </c>
      <c r="W35" s="139" t="s">
        <v>12</v>
      </c>
      <c r="X35" s="140" t="s">
        <v>12</v>
      </c>
      <c r="Y35" s="193">
        <f>1/1.0332895</f>
        <v>0.96778298821385489</v>
      </c>
      <c r="Z35" s="139" t="s">
        <v>12</v>
      </c>
      <c r="AA35" s="140" t="s">
        <v>12</v>
      </c>
      <c r="AB35" s="141" t="s">
        <v>12</v>
      </c>
      <c r="AC35" s="139" t="s">
        <v>12</v>
      </c>
      <c r="AD35" s="122" t="s">
        <v>12</v>
      </c>
      <c r="AE35" s="39"/>
      <c r="AF35" s="194">
        <v>0.94314405000000001</v>
      </c>
      <c r="AG35" s="60" t="s">
        <v>12</v>
      </c>
      <c r="AH35" s="61" t="s">
        <v>12</v>
      </c>
      <c r="AI35" s="194">
        <v>0.90748457000000005</v>
      </c>
      <c r="AJ35" s="60" t="s">
        <v>12</v>
      </c>
      <c r="AK35" s="189" t="s">
        <v>12</v>
      </c>
      <c r="AL35" s="59" t="s">
        <v>12</v>
      </c>
      <c r="AM35" s="60" t="s">
        <v>12</v>
      </c>
      <c r="AN35" s="190" t="s">
        <v>12</v>
      </c>
      <c r="AO35" s="250"/>
      <c r="AP35" s="147">
        <v>1.1000000000000001</v>
      </c>
      <c r="AQ35" s="44">
        <v>1.1299999999999999</v>
      </c>
      <c r="AR35" s="64"/>
      <c r="AS35" s="474" t="s">
        <v>383</v>
      </c>
    </row>
    <row r="36" spans="1:45" ht="15.75" customHeight="1">
      <c r="A36" s="67" t="s">
        <v>62</v>
      </c>
      <c r="B36" s="68"/>
      <c r="C36" s="69"/>
      <c r="D36" s="70">
        <v>6</v>
      </c>
      <c r="E36" s="71">
        <v>0</v>
      </c>
      <c r="F36" s="70">
        <v>0</v>
      </c>
      <c r="G36" s="387">
        <v>31</v>
      </c>
      <c r="H36" s="72"/>
      <c r="I36" s="73"/>
      <c r="J36" s="74"/>
      <c r="K36" s="233"/>
      <c r="L36" s="239" t="s">
        <v>281</v>
      </c>
      <c r="M36" s="76"/>
      <c r="N36" s="152"/>
      <c r="O36" s="95"/>
      <c r="P36" s="79"/>
      <c r="Q36" s="80"/>
      <c r="R36" s="81"/>
      <c r="S36" s="68" t="s">
        <v>12</v>
      </c>
      <c r="T36" s="82"/>
      <c r="U36" s="83"/>
      <c r="V36" s="84">
        <v>2</v>
      </c>
      <c r="W36" s="85">
        <v>0.52600000000000002</v>
      </c>
      <c r="X36" s="80">
        <v>0.27800000000000002</v>
      </c>
      <c r="Y36" s="86">
        <v>2</v>
      </c>
      <c r="Z36" s="85">
        <v>0.52600000000000002</v>
      </c>
      <c r="AA36" s="80">
        <v>0.27800000000000002</v>
      </c>
      <c r="AB36" s="86" t="s">
        <v>12</v>
      </c>
      <c r="AC36" s="85" t="s">
        <v>12</v>
      </c>
      <c r="AD36" s="87" t="s">
        <v>12</v>
      </c>
      <c r="AE36" s="68"/>
      <c r="AF36" s="88">
        <v>0.7</v>
      </c>
      <c r="AG36" s="89" t="s">
        <v>12</v>
      </c>
      <c r="AH36" s="90" t="s">
        <v>12</v>
      </c>
      <c r="AI36" s="88" t="s">
        <v>12</v>
      </c>
      <c r="AJ36" s="89" t="s">
        <v>12</v>
      </c>
      <c r="AK36" s="90" t="s">
        <v>12</v>
      </c>
      <c r="AL36" s="88" t="s">
        <v>12</v>
      </c>
      <c r="AM36" s="89" t="s">
        <v>12</v>
      </c>
      <c r="AN36" s="90" t="s">
        <v>12</v>
      </c>
      <c r="AO36" s="246"/>
      <c r="AP36" s="91"/>
      <c r="AQ36" s="73"/>
      <c r="AR36" s="92"/>
      <c r="AS36" s="470" t="s">
        <v>384</v>
      </c>
    </row>
    <row r="37" spans="1:45" ht="15.75" customHeight="1">
      <c r="A37" s="12" t="s">
        <v>63</v>
      </c>
      <c r="B37" s="13" t="s">
        <v>68</v>
      </c>
      <c r="C37" s="14">
        <v>1991</v>
      </c>
      <c r="D37" s="424">
        <v>7</v>
      </c>
      <c r="E37" s="15">
        <v>1</v>
      </c>
      <c r="F37" s="424">
        <v>0</v>
      </c>
      <c r="G37" s="388">
        <v>30</v>
      </c>
      <c r="H37" s="391">
        <v>6.7</v>
      </c>
      <c r="I37" s="16" t="s">
        <v>314</v>
      </c>
      <c r="J37" s="96">
        <v>11</v>
      </c>
      <c r="K37" s="231"/>
      <c r="L37" s="237" t="s">
        <v>281</v>
      </c>
      <c r="M37" s="19" t="s">
        <v>274</v>
      </c>
      <c r="N37" s="154"/>
      <c r="O37" s="98">
        <v>37</v>
      </c>
      <c r="P37" s="22">
        <v>1.31</v>
      </c>
      <c r="Q37" s="21">
        <v>1.26</v>
      </c>
      <c r="R37" s="23"/>
      <c r="S37" s="99" t="s">
        <v>7</v>
      </c>
      <c r="T37" s="165" t="s">
        <v>86</v>
      </c>
      <c r="U37" s="166" t="s">
        <v>25</v>
      </c>
      <c r="V37" s="102">
        <v>0.88</v>
      </c>
      <c r="W37" s="103">
        <v>0.28999999999999998</v>
      </c>
      <c r="X37" s="104">
        <v>0.16</v>
      </c>
      <c r="Y37" s="105">
        <v>0.77</v>
      </c>
      <c r="Z37" s="103">
        <v>0.23</v>
      </c>
      <c r="AA37" s="104">
        <v>0.13</v>
      </c>
      <c r="AB37" s="105">
        <v>0.57999999999999996</v>
      </c>
      <c r="AC37" s="103">
        <v>0.2</v>
      </c>
      <c r="AD37" s="106" t="s">
        <v>12</v>
      </c>
      <c r="AE37" s="158"/>
      <c r="AF37" s="107">
        <v>2.2000000000000002</v>
      </c>
      <c r="AG37" s="108" t="s">
        <v>12</v>
      </c>
      <c r="AH37" s="109" t="s">
        <v>12</v>
      </c>
      <c r="AI37" s="107">
        <v>2</v>
      </c>
      <c r="AJ37" s="108" t="s">
        <v>12</v>
      </c>
      <c r="AK37" s="109" t="s">
        <v>12</v>
      </c>
      <c r="AL37" s="107">
        <v>1.3</v>
      </c>
      <c r="AM37" s="108" t="s">
        <v>12</v>
      </c>
      <c r="AN37" s="109" t="s">
        <v>12</v>
      </c>
      <c r="AO37" s="247"/>
      <c r="AP37" s="110"/>
      <c r="AQ37" s="111"/>
      <c r="AR37" s="129"/>
      <c r="AS37" s="475"/>
    </row>
    <row r="38" spans="1:45" ht="15.75" customHeight="1">
      <c r="A38" s="12"/>
      <c r="B38" s="13"/>
      <c r="C38" s="14"/>
      <c r="D38" s="424"/>
      <c r="E38" s="15"/>
      <c r="F38" s="424"/>
      <c r="G38" s="388"/>
      <c r="H38" s="391"/>
      <c r="I38" s="16"/>
      <c r="J38" s="96"/>
      <c r="K38" s="231"/>
      <c r="L38" s="237"/>
      <c r="M38" s="19"/>
      <c r="N38" s="97"/>
      <c r="O38" s="98"/>
      <c r="P38" s="22"/>
      <c r="Q38" s="21"/>
      <c r="R38" s="23"/>
      <c r="S38" s="115" t="s">
        <v>8</v>
      </c>
      <c r="T38" s="100"/>
      <c r="U38" s="101"/>
      <c r="V38" s="118">
        <v>0.88</v>
      </c>
      <c r="W38" s="119">
        <v>0.28999999999999998</v>
      </c>
      <c r="X38" s="120">
        <v>0.16</v>
      </c>
      <c r="Y38" s="121">
        <v>0.77</v>
      </c>
      <c r="Z38" s="119">
        <v>0.23</v>
      </c>
      <c r="AA38" s="120">
        <v>0.13</v>
      </c>
      <c r="AB38" s="121">
        <v>0.57999999999999996</v>
      </c>
      <c r="AC38" s="119">
        <v>0.2</v>
      </c>
      <c r="AD38" s="122" t="s">
        <v>12</v>
      </c>
      <c r="AE38" s="99"/>
      <c r="AF38" s="124">
        <v>2.5</v>
      </c>
      <c r="AG38" s="125" t="s">
        <v>12</v>
      </c>
      <c r="AH38" s="126" t="s">
        <v>12</v>
      </c>
      <c r="AI38" s="124">
        <v>2.4</v>
      </c>
      <c r="AJ38" s="125" t="s">
        <v>12</v>
      </c>
      <c r="AK38" s="126" t="s">
        <v>12</v>
      </c>
      <c r="AL38" s="124">
        <v>1.3</v>
      </c>
      <c r="AM38" s="125" t="s">
        <v>12</v>
      </c>
      <c r="AN38" s="126" t="s">
        <v>12</v>
      </c>
      <c r="AO38" s="248"/>
      <c r="AP38" s="127"/>
      <c r="AQ38" s="128"/>
      <c r="AR38" s="137"/>
      <c r="AS38" s="473"/>
    </row>
    <row r="39" spans="1:45" ht="15.75" customHeight="1">
      <c r="A39" s="12"/>
      <c r="B39" s="13"/>
      <c r="C39" s="14"/>
      <c r="D39" s="424"/>
      <c r="E39" s="15"/>
      <c r="F39" s="424"/>
      <c r="G39" s="388"/>
      <c r="H39" s="391"/>
      <c r="I39" s="16"/>
      <c r="J39" s="96"/>
      <c r="K39" s="231"/>
      <c r="L39" s="237"/>
      <c r="M39" s="19"/>
      <c r="N39" s="97"/>
      <c r="O39" s="98"/>
      <c r="P39" s="22"/>
      <c r="Q39" s="21"/>
      <c r="R39" s="23"/>
      <c r="S39" s="99" t="s">
        <v>0</v>
      </c>
      <c r="T39" s="18" t="s">
        <v>84</v>
      </c>
      <c r="U39" s="19" t="s">
        <v>25</v>
      </c>
      <c r="V39" s="192">
        <v>0.96</v>
      </c>
      <c r="W39" s="119" t="s">
        <v>12</v>
      </c>
      <c r="X39" s="120" t="s">
        <v>12</v>
      </c>
      <c r="Y39" s="193">
        <v>0.83</v>
      </c>
      <c r="Z39" s="119" t="s">
        <v>12</v>
      </c>
      <c r="AA39" s="120" t="s">
        <v>12</v>
      </c>
      <c r="AB39" s="121" t="s">
        <v>12</v>
      </c>
      <c r="AC39" s="119" t="s">
        <v>12</v>
      </c>
      <c r="AD39" s="122" t="s">
        <v>12</v>
      </c>
      <c r="AE39" s="13" t="s">
        <v>89</v>
      </c>
      <c r="AF39" s="194">
        <v>5.5</v>
      </c>
      <c r="AG39" s="108" t="s">
        <v>12</v>
      </c>
      <c r="AH39" s="109" t="s">
        <v>12</v>
      </c>
      <c r="AI39" s="194">
        <v>3.7</v>
      </c>
      <c r="AJ39" s="108" t="s">
        <v>12</v>
      </c>
      <c r="AK39" s="195" t="s">
        <v>12</v>
      </c>
      <c r="AL39" s="107" t="s">
        <v>12</v>
      </c>
      <c r="AM39" s="108" t="s">
        <v>12</v>
      </c>
      <c r="AN39" s="109" t="s">
        <v>12</v>
      </c>
      <c r="AO39" s="237" t="s">
        <v>290</v>
      </c>
      <c r="AP39" s="110">
        <v>0.2</v>
      </c>
      <c r="AQ39" s="111">
        <v>0.2</v>
      </c>
      <c r="AR39" s="129"/>
      <c r="AS39" s="473" t="s">
        <v>382</v>
      </c>
    </row>
    <row r="40" spans="1:45" ht="15.75" customHeight="1">
      <c r="A40" s="38"/>
      <c r="B40" s="39"/>
      <c r="C40" s="40"/>
      <c r="D40" s="41"/>
      <c r="E40" s="42"/>
      <c r="F40" s="41"/>
      <c r="G40" s="385"/>
      <c r="H40" s="43"/>
      <c r="I40" s="44"/>
      <c r="J40" s="45"/>
      <c r="K40" s="232"/>
      <c r="L40" s="238"/>
      <c r="M40" s="47"/>
      <c r="N40" s="48"/>
      <c r="O40" s="49"/>
      <c r="P40" s="50"/>
      <c r="Q40" s="51"/>
      <c r="R40" s="52"/>
      <c r="S40" s="39" t="s">
        <v>1</v>
      </c>
      <c r="T40" s="54"/>
      <c r="U40" s="196"/>
      <c r="V40" s="138">
        <v>1.22</v>
      </c>
      <c r="W40" s="139" t="s">
        <v>12</v>
      </c>
      <c r="X40" s="140" t="s">
        <v>12</v>
      </c>
      <c r="Y40" s="141" t="s">
        <v>12</v>
      </c>
      <c r="Z40" s="139" t="s">
        <v>12</v>
      </c>
      <c r="AA40" s="140" t="s">
        <v>12</v>
      </c>
      <c r="AB40" s="141" t="s">
        <v>12</v>
      </c>
      <c r="AC40" s="139" t="s">
        <v>12</v>
      </c>
      <c r="AD40" s="142" t="s">
        <v>12</v>
      </c>
      <c r="AE40" s="39"/>
      <c r="AF40" s="188">
        <v>4.8</v>
      </c>
      <c r="AG40" s="60" t="s">
        <v>12</v>
      </c>
      <c r="AH40" s="189" t="s">
        <v>12</v>
      </c>
      <c r="AI40" s="59" t="s">
        <v>12</v>
      </c>
      <c r="AJ40" s="60" t="s">
        <v>12</v>
      </c>
      <c r="AK40" s="189" t="s">
        <v>12</v>
      </c>
      <c r="AL40" s="59" t="s">
        <v>12</v>
      </c>
      <c r="AM40" s="60" t="s">
        <v>12</v>
      </c>
      <c r="AN40" s="190" t="s">
        <v>12</v>
      </c>
      <c r="AO40" s="250"/>
      <c r="AP40" s="147">
        <v>3.6</v>
      </c>
      <c r="AQ40" s="63"/>
      <c r="AR40" s="64"/>
      <c r="AS40" s="474" t="s">
        <v>383</v>
      </c>
    </row>
    <row r="41" spans="1:45" ht="15.75" customHeight="1">
      <c r="A41" s="12" t="s">
        <v>64</v>
      </c>
      <c r="B41" s="13"/>
      <c r="C41" s="14"/>
      <c r="D41" s="424">
        <v>6</v>
      </c>
      <c r="E41" s="15">
        <v>0</v>
      </c>
      <c r="F41" s="424">
        <v>0</v>
      </c>
      <c r="G41" s="388">
        <v>18.899999999999999</v>
      </c>
      <c r="H41" s="391">
        <v>8</v>
      </c>
      <c r="I41" s="16" t="s">
        <v>314</v>
      </c>
      <c r="J41" s="96">
        <v>8</v>
      </c>
      <c r="K41" s="231"/>
      <c r="L41" s="237" t="s">
        <v>281</v>
      </c>
      <c r="M41" s="19"/>
      <c r="N41" s="154"/>
      <c r="O41" s="155"/>
      <c r="P41" s="22"/>
      <c r="Q41" s="21"/>
      <c r="R41" s="23"/>
      <c r="S41" s="99">
        <v>1</v>
      </c>
      <c r="T41" s="100"/>
      <c r="U41" s="101"/>
      <c r="V41" s="102">
        <v>1.33</v>
      </c>
      <c r="W41" s="103">
        <v>0.41</v>
      </c>
      <c r="X41" s="104">
        <v>0.23</v>
      </c>
      <c r="Y41" s="105">
        <v>1.1399999999999999</v>
      </c>
      <c r="Z41" s="103">
        <v>0.34</v>
      </c>
      <c r="AA41" s="104">
        <v>0.19</v>
      </c>
      <c r="AB41" s="105" t="s">
        <v>12</v>
      </c>
      <c r="AC41" s="103" t="s">
        <v>12</v>
      </c>
      <c r="AD41" s="106" t="s">
        <v>12</v>
      </c>
      <c r="AE41" s="99"/>
      <c r="AF41" s="107">
        <v>0.8</v>
      </c>
      <c r="AG41" s="108">
        <v>1.4</v>
      </c>
      <c r="AH41" s="109">
        <v>2.2999999999999998</v>
      </c>
      <c r="AI41" s="107">
        <v>0.5</v>
      </c>
      <c r="AJ41" s="108">
        <v>1.4</v>
      </c>
      <c r="AK41" s="109">
        <v>2.4</v>
      </c>
      <c r="AL41" s="107" t="s">
        <v>12</v>
      </c>
      <c r="AM41" s="108" t="s">
        <v>12</v>
      </c>
      <c r="AN41" s="109" t="s">
        <v>12</v>
      </c>
      <c r="AO41" s="247"/>
      <c r="AP41" s="110"/>
      <c r="AQ41" s="111"/>
      <c r="AR41" s="129"/>
      <c r="AS41" s="475"/>
    </row>
    <row r="42" spans="1:45" ht="15.75" customHeight="1">
      <c r="A42" s="38"/>
      <c r="B42" s="39"/>
      <c r="C42" s="40"/>
      <c r="D42" s="41"/>
      <c r="E42" s="42"/>
      <c r="F42" s="41"/>
      <c r="G42" s="385"/>
      <c r="H42" s="43"/>
      <c r="I42" s="44"/>
      <c r="J42" s="45"/>
      <c r="K42" s="232"/>
      <c r="L42" s="238"/>
      <c r="M42" s="47"/>
      <c r="N42" s="48"/>
      <c r="O42" s="49"/>
      <c r="P42" s="50"/>
      <c r="Q42" s="51"/>
      <c r="R42" s="52"/>
      <c r="S42" s="53">
        <v>2</v>
      </c>
      <c r="T42" s="149"/>
      <c r="U42" s="156"/>
      <c r="V42" s="151" t="s">
        <v>12</v>
      </c>
      <c r="W42" s="139" t="s">
        <v>12</v>
      </c>
      <c r="X42" s="140" t="s">
        <v>12</v>
      </c>
      <c r="Y42" s="141" t="s">
        <v>12</v>
      </c>
      <c r="Z42" s="139" t="s">
        <v>12</v>
      </c>
      <c r="AA42" s="140" t="s">
        <v>12</v>
      </c>
      <c r="AB42" s="141" t="s">
        <v>12</v>
      </c>
      <c r="AC42" s="139" t="s">
        <v>12</v>
      </c>
      <c r="AD42" s="142" t="s">
        <v>12</v>
      </c>
      <c r="AE42" s="53" t="s">
        <v>91</v>
      </c>
      <c r="AF42" s="59">
        <v>0.65</v>
      </c>
      <c r="AG42" s="60" t="s">
        <v>12</v>
      </c>
      <c r="AH42" s="61" t="s">
        <v>12</v>
      </c>
      <c r="AI42" s="59">
        <v>0.56999999999999995</v>
      </c>
      <c r="AJ42" s="60" t="s">
        <v>12</v>
      </c>
      <c r="AK42" s="61" t="s">
        <v>12</v>
      </c>
      <c r="AL42" s="59" t="s">
        <v>12</v>
      </c>
      <c r="AM42" s="60" t="s">
        <v>12</v>
      </c>
      <c r="AN42" s="61" t="s">
        <v>12</v>
      </c>
      <c r="AO42" s="245"/>
      <c r="AP42" s="62"/>
      <c r="AQ42" s="63"/>
      <c r="AR42" s="64"/>
      <c r="AS42" s="474"/>
    </row>
    <row r="43" spans="1:45" ht="15.75" customHeight="1">
      <c r="A43" s="67" t="s">
        <v>65</v>
      </c>
      <c r="B43" s="68"/>
      <c r="C43" s="69">
        <v>1993</v>
      </c>
      <c r="D43" s="70">
        <v>6</v>
      </c>
      <c r="E43" s="71">
        <v>0</v>
      </c>
      <c r="F43" s="70">
        <v>0</v>
      </c>
      <c r="G43" s="387">
        <v>18.3</v>
      </c>
      <c r="H43" s="72">
        <v>5</v>
      </c>
      <c r="I43" s="73" t="s">
        <v>314</v>
      </c>
      <c r="J43" s="74">
        <v>9</v>
      </c>
      <c r="K43" s="233"/>
      <c r="L43" s="239" t="s">
        <v>281</v>
      </c>
      <c r="M43" s="76" t="s">
        <v>273</v>
      </c>
      <c r="N43" s="77">
        <v>1.3</v>
      </c>
      <c r="O43" s="80"/>
      <c r="P43" s="79"/>
      <c r="Q43" s="80"/>
      <c r="R43" s="81"/>
      <c r="S43" s="68" t="s">
        <v>12</v>
      </c>
      <c r="T43" s="82" t="s">
        <v>85</v>
      </c>
      <c r="U43" s="83" t="s">
        <v>19</v>
      </c>
      <c r="V43" s="84">
        <v>1.63</v>
      </c>
      <c r="W43" s="85">
        <v>0.28499999999999998</v>
      </c>
      <c r="X43" s="80">
        <v>0.215</v>
      </c>
      <c r="Y43" s="86">
        <v>1.1240000000000001</v>
      </c>
      <c r="Z43" s="85">
        <v>0.314</v>
      </c>
      <c r="AA43" s="80">
        <v>0.215</v>
      </c>
      <c r="AB43" s="86" t="s">
        <v>12</v>
      </c>
      <c r="AC43" s="85" t="s">
        <v>12</v>
      </c>
      <c r="AD43" s="87" t="s">
        <v>12</v>
      </c>
      <c r="AE43" s="68" t="s">
        <v>91</v>
      </c>
      <c r="AF43" s="88">
        <v>0.3</v>
      </c>
      <c r="AG43" s="89" t="s">
        <v>12</v>
      </c>
      <c r="AH43" s="90" t="s">
        <v>12</v>
      </c>
      <c r="AI43" s="88" t="s">
        <v>12</v>
      </c>
      <c r="AJ43" s="89" t="s">
        <v>12</v>
      </c>
      <c r="AK43" s="90" t="s">
        <v>12</v>
      </c>
      <c r="AL43" s="88" t="s">
        <v>12</v>
      </c>
      <c r="AM43" s="89" t="s">
        <v>12</v>
      </c>
      <c r="AN43" s="90" t="s">
        <v>12</v>
      </c>
      <c r="AO43" s="246"/>
      <c r="AP43" s="91"/>
      <c r="AQ43" s="73"/>
      <c r="AR43" s="92"/>
      <c r="AS43" s="470" t="s">
        <v>385</v>
      </c>
    </row>
    <row r="44" spans="1:45" ht="15.75" customHeight="1">
      <c r="A44" s="157" t="s">
        <v>66</v>
      </c>
      <c r="B44" s="158"/>
      <c r="C44" s="159">
        <v>1989</v>
      </c>
      <c r="D44" s="160"/>
      <c r="E44" s="161"/>
      <c r="F44" s="160"/>
      <c r="G44" s="386">
        <v>14.9</v>
      </c>
      <c r="H44" s="162">
        <v>10</v>
      </c>
      <c r="I44" s="163" t="s">
        <v>314</v>
      </c>
      <c r="J44" s="164">
        <v>10</v>
      </c>
      <c r="K44" s="234"/>
      <c r="L44" s="240" t="s">
        <v>281</v>
      </c>
      <c r="M44" s="166"/>
      <c r="N44" s="197"/>
      <c r="O44" s="198"/>
      <c r="P44" s="169"/>
      <c r="Q44" s="170"/>
      <c r="R44" s="171"/>
      <c r="S44" s="158" t="s">
        <v>12</v>
      </c>
      <c r="T44" s="199" t="s">
        <v>82</v>
      </c>
      <c r="U44" s="200"/>
      <c r="V44" s="201">
        <v>1.1000000000000001</v>
      </c>
      <c r="W44" s="202" t="s">
        <v>12</v>
      </c>
      <c r="X44" s="170" t="s">
        <v>12</v>
      </c>
      <c r="Y44" s="203" t="s">
        <v>12</v>
      </c>
      <c r="Z44" s="202" t="s">
        <v>12</v>
      </c>
      <c r="AA44" s="170" t="s">
        <v>12</v>
      </c>
      <c r="AB44" s="203" t="s">
        <v>12</v>
      </c>
      <c r="AC44" s="202" t="s">
        <v>12</v>
      </c>
      <c r="AD44" s="204" t="s">
        <v>12</v>
      </c>
      <c r="AE44" s="158" t="s">
        <v>91</v>
      </c>
      <c r="AF44" s="205">
        <v>0.2</v>
      </c>
      <c r="AG44" s="206" t="s">
        <v>12</v>
      </c>
      <c r="AH44" s="207" t="s">
        <v>12</v>
      </c>
      <c r="AI44" s="205">
        <v>0.1</v>
      </c>
      <c r="AJ44" s="206" t="s">
        <v>12</v>
      </c>
      <c r="AK44" s="207" t="s">
        <v>12</v>
      </c>
      <c r="AL44" s="205" t="s">
        <v>12</v>
      </c>
      <c r="AM44" s="206" t="s">
        <v>12</v>
      </c>
      <c r="AN44" s="207" t="s">
        <v>12</v>
      </c>
      <c r="AO44" s="253"/>
      <c r="AP44" s="208"/>
      <c r="AQ44" s="163"/>
      <c r="AR44" s="209"/>
      <c r="AS44" s="476"/>
    </row>
    <row r="45" spans="1:45" s="377" customFormat="1" ht="15.75" customHeight="1">
      <c r="A45" s="210"/>
      <c r="B45" s="211"/>
      <c r="C45" s="211"/>
      <c r="D45" s="212"/>
      <c r="E45" s="212"/>
      <c r="F45" s="212"/>
      <c r="G45" s="213"/>
      <c r="H45" s="558"/>
      <c r="I45" s="558"/>
      <c r="J45" s="558"/>
      <c r="K45" s="558"/>
      <c r="L45" s="241"/>
      <c r="M45" s="559"/>
      <c r="N45" s="559"/>
      <c r="O45" s="559"/>
      <c r="P45" s="215"/>
      <c r="Q45" s="215"/>
      <c r="R45" s="215"/>
      <c r="S45" s="213"/>
      <c r="T45" s="211"/>
      <c r="U45" s="211"/>
      <c r="V45" s="560"/>
      <c r="W45" s="560"/>
      <c r="X45" s="560"/>
      <c r="Y45" s="560"/>
      <c r="Z45" s="560"/>
      <c r="AA45" s="560"/>
      <c r="AB45" s="560"/>
      <c r="AC45" s="560"/>
      <c r="AD45" s="560"/>
      <c r="AE45" s="211"/>
      <c r="AF45" s="216"/>
      <c r="AG45" s="215"/>
      <c r="AH45" s="215"/>
      <c r="AI45" s="215"/>
      <c r="AJ45" s="215"/>
      <c r="AK45" s="215"/>
      <c r="AL45" s="215"/>
      <c r="AM45" s="215"/>
      <c r="AN45" s="215"/>
      <c r="AO45" s="254"/>
      <c r="AP45" s="215"/>
      <c r="AQ45" s="215"/>
      <c r="AR45" s="215"/>
      <c r="AS45" s="217"/>
    </row>
    <row r="46" spans="1:45" ht="15.75" customHeight="1">
      <c r="A46" s="38" t="s">
        <v>102</v>
      </c>
      <c r="B46" s="39"/>
      <c r="C46" s="40"/>
      <c r="D46" s="218" t="s">
        <v>12</v>
      </c>
      <c r="E46" s="218" t="s">
        <v>12</v>
      </c>
      <c r="F46" s="219" t="s">
        <v>12</v>
      </c>
      <c r="G46" s="385">
        <v>201.2</v>
      </c>
      <c r="H46" s="43">
        <v>17.600000000000001</v>
      </c>
      <c r="I46" s="44" t="s">
        <v>16</v>
      </c>
      <c r="J46" s="45"/>
      <c r="K46" s="232"/>
      <c r="L46" s="238" t="s">
        <v>283</v>
      </c>
      <c r="M46" s="47" t="s">
        <v>273</v>
      </c>
      <c r="N46" s="48">
        <v>10</v>
      </c>
      <c r="O46" s="51"/>
      <c r="P46" s="50"/>
      <c r="Q46" s="51"/>
      <c r="R46" s="52"/>
      <c r="S46" s="39" t="s">
        <v>12</v>
      </c>
      <c r="T46" s="54" t="s">
        <v>86</v>
      </c>
      <c r="U46" s="196" t="s">
        <v>20</v>
      </c>
      <c r="V46" s="55">
        <v>2.2999999999999998</v>
      </c>
      <c r="W46" s="56">
        <v>0.95</v>
      </c>
      <c r="X46" s="51">
        <v>0.48</v>
      </c>
      <c r="Y46" s="57">
        <v>3</v>
      </c>
      <c r="Z46" s="56">
        <v>0.95</v>
      </c>
      <c r="AA46" s="51">
        <v>0.48</v>
      </c>
      <c r="AB46" s="57" t="s">
        <v>12</v>
      </c>
      <c r="AC46" s="56" t="s">
        <v>12</v>
      </c>
      <c r="AD46" s="58" t="s">
        <v>12</v>
      </c>
      <c r="AE46" s="39"/>
      <c r="AF46" s="146" t="s">
        <v>12</v>
      </c>
      <c r="AG46" s="144">
        <v>0.4</v>
      </c>
      <c r="AH46" s="145">
        <v>0.3</v>
      </c>
      <c r="AI46" s="146" t="s">
        <v>12</v>
      </c>
      <c r="AJ46" s="144">
        <v>0.4</v>
      </c>
      <c r="AK46" s="145" t="s">
        <v>12</v>
      </c>
      <c r="AL46" s="146" t="s">
        <v>12</v>
      </c>
      <c r="AM46" s="144" t="s">
        <v>12</v>
      </c>
      <c r="AN46" s="145" t="s">
        <v>12</v>
      </c>
      <c r="AO46" s="250"/>
      <c r="AP46" s="147"/>
      <c r="AQ46" s="44"/>
      <c r="AR46" s="220"/>
      <c r="AS46" s="469"/>
    </row>
    <row r="47" spans="1:45" ht="15.75" customHeight="1">
      <c r="A47" s="12" t="s">
        <v>103</v>
      </c>
      <c r="B47" s="13" t="s">
        <v>78</v>
      </c>
      <c r="C47" s="14">
        <v>2006</v>
      </c>
      <c r="D47" s="223">
        <v>6</v>
      </c>
      <c r="E47" s="224">
        <v>0</v>
      </c>
      <c r="F47" s="225">
        <v>1</v>
      </c>
      <c r="G47" s="388">
        <v>98</v>
      </c>
      <c r="H47" s="391">
        <v>5.8</v>
      </c>
      <c r="I47" s="16" t="s">
        <v>314</v>
      </c>
      <c r="J47" s="96">
        <v>5.8</v>
      </c>
      <c r="K47" s="231" t="s">
        <v>286</v>
      </c>
      <c r="L47" s="237" t="s">
        <v>284</v>
      </c>
      <c r="M47" s="19" t="s">
        <v>274</v>
      </c>
      <c r="N47" s="226">
        <v>3.8</v>
      </c>
      <c r="O47" s="227">
        <v>25.5</v>
      </c>
      <c r="P47" s="22"/>
      <c r="Q47" s="21"/>
      <c r="R47" s="23"/>
      <c r="S47" s="99"/>
      <c r="T47" s="100"/>
      <c r="U47" s="101" t="s">
        <v>26</v>
      </c>
      <c r="V47" s="102">
        <f>1/0.516</f>
        <v>1.9379844961240309</v>
      </c>
      <c r="W47" s="103" t="s">
        <v>12</v>
      </c>
      <c r="X47" s="176" t="s">
        <v>12</v>
      </c>
      <c r="Y47" s="105">
        <f>1/0.532</f>
        <v>1.8796992481203008</v>
      </c>
      <c r="Z47" s="103" t="s">
        <v>12</v>
      </c>
      <c r="AA47" s="176" t="s">
        <v>12</v>
      </c>
      <c r="AB47" s="105" t="s">
        <v>12</v>
      </c>
      <c r="AC47" s="103" t="s">
        <v>12</v>
      </c>
      <c r="AD47" s="106" t="s">
        <v>12</v>
      </c>
      <c r="AE47" s="99" t="s">
        <v>91</v>
      </c>
      <c r="AF47" s="107">
        <v>0.39800000000000002</v>
      </c>
      <c r="AG47" s="108" t="s">
        <v>12</v>
      </c>
      <c r="AH47" s="109" t="s">
        <v>12</v>
      </c>
      <c r="AI47" s="107">
        <v>0.39600000000000002</v>
      </c>
      <c r="AJ47" s="108" t="s">
        <v>12</v>
      </c>
      <c r="AK47" s="109" t="s">
        <v>12</v>
      </c>
      <c r="AL47" s="107" t="s">
        <v>12</v>
      </c>
      <c r="AM47" s="108" t="s">
        <v>12</v>
      </c>
      <c r="AN47" s="109" t="s">
        <v>12</v>
      </c>
      <c r="AO47" s="247" t="s">
        <v>290</v>
      </c>
      <c r="AP47" s="110" t="s">
        <v>35</v>
      </c>
      <c r="AQ47" s="111" t="s">
        <v>35</v>
      </c>
      <c r="AR47" s="129"/>
      <c r="AS47" s="475" t="s">
        <v>386</v>
      </c>
    </row>
    <row r="48" spans="1:45" ht="15.75" customHeight="1">
      <c r="A48" s="38"/>
      <c r="B48" s="39"/>
      <c r="C48" s="40"/>
      <c r="D48" s="41"/>
      <c r="E48" s="42"/>
      <c r="F48" s="41"/>
      <c r="G48" s="385"/>
      <c r="H48" s="43"/>
      <c r="I48" s="44"/>
      <c r="J48" s="45"/>
      <c r="K48" s="232"/>
      <c r="L48" s="238"/>
      <c r="M48" s="47"/>
      <c r="N48" s="48"/>
      <c r="O48" s="49"/>
      <c r="P48" s="50"/>
      <c r="Q48" s="51"/>
      <c r="R48" s="52"/>
      <c r="S48" s="53"/>
      <c r="T48" s="149"/>
      <c r="U48" s="156"/>
      <c r="V48" s="151">
        <f>1/0.526</f>
        <v>1.9011406844106462</v>
      </c>
      <c r="W48" s="139" t="s">
        <v>12</v>
      </c>
      <c r="X48" s="140" t="s">
        <v>12</v>
      </c>
      <c r="Y48" s="141">
        <f>1/0.542</f>
        <v>1.8450184501845017</v>
      </c>
      <c r="Z48" s="139" t="s">
        <v>12</v>
      </c>
      <c r="AA48" s="140" t="s">
        <v>12</v>
      </c>
      <c r="AB48" s="141" t="s">
        <v>12</v>
      </c>
      <c r="AC48" s="139" t="s">
        <v>12</v>
      </c>
      <c r="AD48" s="142" t="s">
        <v>12</v>
      </c>
      <c r="AE48" s="243" t="s">
        <v>399</v>
      </c>
      <c r="AF48" s="59">
        <v>0.53200000000000003</v>
      </c>
      <c r="AG48" s="60" t="s">
        <v>12</v>
      </c>
      <c r="AH48" s="61" t="s">
        <v>12</v>
      </c>
      <c r="AI48" s="59">
        <v>0.496</v>
      </c>
      <c r="AJ48" s="60" t="s">
        <v>12</v>
      </c>
      <c r="AK48" s="61" t="s">
        <v>12</v>
      </c>
      <c r="AL48" s="59" t="s">
        <v>12</v>
      </c>
      <c r="AM48" s="60" t="s">
        <v>12</v>
      </c>
      <c r="AN48" s="61" t="s">
        <v>12</v>
      </c>
      <c r="AO48" s="245" t="s">
        <v>290</v>
      </c>
      <c r="AP48" s="62" t="s">
        <v>36</v>
      </c>
      <c r="AQ48" s="63" t="s">
        <v>36</v>
      </c>
      <c r="AR48" s="64"/>
      <c r="AS48" s="474" t="s">
        <v>387</v>
      </c>
    </row>
    <row r="49" spans="1:45" ht="15.75" customHeight="1">
      <c r="A49" s="12" t="s">
        <v>104</v>
      </c>
      <c r="B49" s="13"/>
      <c r="C49" s="14"/>
      <c r="D49" s="223" t="s">
        <v>12</v>
      </c>
      <c r="E49" s="224" t="s">
        <v>12</v>
      </c>
      <c r="F49" s="225" t="s">
        <v>12</v>
      </c>
      <c r="G49" s="388">
        <v>89</v>
      </c>
      <c r="H49" s="391">
        <v>7</v>
      </c>
      <c r="I49" s="16" t="s">
        <v>314</v>
      </c>
      <c r="J49" s="96">
        <v>21</v>
      </c>
      <c r="K49" s="231"/>
      <c r="L49" s="237" t="s">
        <v>283</v>
      </c>
      <c r="M49" s="19"/>
      <c r="N49" s="154"/>
      <c r="O49" s="155"/>
      <c r="P49" s="22"/>
      <c r="Q49" s="21"/>
      <c r="R49" s="23"/>
      <c r="S49" s="99">
        <v>1</v>
      </c>
      <c r="T49" s="100"/>
      <c r="U49" s="101" t="s">
        <v>26</v>
      </c>
      <c r="V49" s="102">
        <v>0.86199999999999999</v>
      </c>
      <c r="W49" s="103" t="s">
        <v>12</v>
      </c>
      <c r="X49" s="104" t="s">
        <v>12</v>
      </c>
      <c r="Y49" s="105" t="s">
        <v>12</v>
      </c>
      <c r="Z49" s="103" t="s">
        <v>12</v>
      </c>
      <c r="AA49" s="104" t="s">
        <v>12</v>
      </c>
      <c r="AB49" s="105" t="s">
        <v>12</v>
      </c>
      <c r="AC49" s="103" t="s">
        <v>12</v>
      </c>
      <c r="AD49" s="106" t="s">
        <v>12</v>
      </c>
      <c r="AE49" s="99" t="s">
        <v>91</v>
      </c>
      <c r="AF49" s="107">
        <v>1.65</v>
      </c>
      <c r="AG49" s="108" t="s">
        <v>12</v>
      </c>
      <c r="AH49" s="109" t="s">
        <v>12</v>
      </c>
      <c r="AI49" s="107" t="s">
        <v>12</v>
      </c>
      <c r="AJ49" s="108" t="s">
        <v>12</v>
      </c>
      <c r="AK49" s="109" t="s">
        <v>12</v>
      </c>
      <c r="AL49" s="107" t="s">
        <v>12</v>
      </c>
      <c r="AM49" s="108" t="s">
        <v>12</v>
      </c>
      <c r="AN49" s="109" t="s">
        <v>12</v>
      </c>
      <c r="AO49" s="247" t="s">
        <v>291</v>
      </c>
      <c r="AP49" s="110">
        <v>500</v>
      </c>
      <c r="AQ49" s="111"/>
      <c r="AR49" s="129"/>
      <c r="AS49" s="475"/>
    </row>
    <row r="50" spans="1:45" ht="15.75" customHeight="1">
      <c r="A50" s="38"/>
      <c r="B50" s="39"/>
      <c r="C50" s="40"/>
      <c r="D50" s="41"/>
      <c r="E50" s="42"/>
      <c r="F50" s="41"/>
      <c r="G50" s="385"/>
      <c r="H50" s="43"/>
      <c r="I50" s="44"/>
      <c r="J50" s="45"/>
      <c r="K50" s="232"/>
      <c r="L50" s="238"/>
      <c r="M50" s="47"/>
      <c r="N50" s="48"/>
      <c r="O50" s="49"/>
      <c r="P50" s="50"/>
      <c r="Q50" s="51"/>
      <c r="R50" s="52"/>
      <c r="S50" s="53">
        <v>2</v>
      </c>
      <c r="T50" s="149"/>
      <c r="U50" s="156"/>
      <c r="V50" s="151">
        <v>0.86199999999999999</v>
      </c>
      <c r="W50" s="139">
        <v>0.23300000000000001</v>
      </c>
      <c r="X50" s="140">
        <v>0.14699999999999999</v>
      </c>
      <c r="Y50" s="141">
        <v>0.54600000000000004</v>
      </c>
      <c r="Z50" s="139">
        <v>0.104</v>
      </c>
      <c r="AA50" s="140" t="s">
        <v>12</v>
      </c>
      <c r="AB50" s="141" t="s">
        <v>12</v>
      </c>
      <c r="AC50" s="139" t="s">
        <v>12</v>
      </c>
      <c r="AD50" s="142" t="s">
        <v>12</v>
      </c>
      <c r="AE50" s="243" t="s">
        <v>399</v>
      </c>
      <c r="AF50" s="59">
        <v>1.85</v>
      </c>
      <c r="AG50" s="60" t="s">
        <v>12</v>
      </c>
      <c r="AH50" s="61">
        <v>2.2799999999999998</v>
      </c>
      <c r="AI50" s="59">
        <v>1.41</v>
      </c>
      <c r="AJ50" s="60" t="s">
        <v>12</v>
      </c>
      <c r="AK50" s="61" t="s">
        <v>12</v>
      </c>
      <c r="AL50" s="59" t="s">
        <v>12</v>
      </c>
      <c r="AM50" s="60" t="s">
        <v>12</v>
      </c>
      <c r="AN50" s="61" t="s">
        <v>12</v>
      </c>
      <c r="AO50" s="245"/>
      <c r="AP50" s="62"/>
      <c r="AQ50" s="63"/>
      <c r="AR50" s="64"/>
      <c r="AS50" s="473"/>
    </row>
    <row r="51" spans="1:45" ht="15.75" customHeight="1">
      <c r="A51" s="12" t="s">
        <v>105</v>
      </c>
      <c r="B51" s="13"/>
      <c r="C51" s="14"/>
      <c r="D51" s="223" t="s">
        <v>12</v>
      </c>
      <c r="E51" s="224" t="s">
        <v>12</v>
      </c>
      <c r="F51" s="225" t="s">
        <v>12</v>
      </c>
      <c r="G51" s="388">
        <v>80</v>
      </c>
      <c r="H51" s="391">
        <v>7</v>
      </c>
      <c r="I51" s="16" t="s">
        <v>16</v>
      </c>
      <c r="J51" s="96"/>
      <c r="K51" s="231"/>
      <c r="L51" s="237" t="s">
        <v>283</v>
      </c>
      <c r="M51" s="19" t="s">
        <v>274</v>
      </c>
      <c r="N51" s="154"/>
      <c r="O51" s="98">
        <v>19</v>
      </c>
      <c r="P51" s="22"/>
      <c r="Q51" s="21"/>
      <c r="R51" s="23"/>
      <c r="S51" s="99">
        <v>1</v>
      </c>
      <c r="T51" s="100"/>
      <c r="U51" s="101" t="s">
        <v>26</v>
      </c>
      <c r="V51" s="102">
        <v>1.538</v>
      </c>
      <c r="W51" s="103">
        <v>0.32800000000000001</v>
      </c>
      <c r="X51" s="104" t="s">
        <v>12</v>
      </c>
      <c r="Y51" s="105" t="s">
        <v>12</v>
      </c>
      <c r="Z51" s="103" t="s">
        <v>12</v>
      </c>
      <c r="AA51" s="104" t="s">
        <v>12</v>
      </c>
      <c r="AB51" s="105" t="s">
        <v>12</v>
      </c>
      <c r="AC51" s="103" t="s">
        <v>12</v>
      </c>
      <c r="AD51" s="106" t="s">
        <v>12</v>
      </c>
      <c r="AE51" s="99" t="s">
        <v>91</v>
      </c>
      <c r="AF51" s="107">
        <v>0.66</v>
      </c>
      <c r="AG51" s="108" t="s">
        <v>12</v>
      </c>
      <c r="AH51" s="109" t="s">
        <v>12</v>
      </c>
      <c r="AI51" s="107" t="s">
        <v>12</v>
      </c>
      <c r="AJ51" s="108" t="s">
        <v>12</v>
      </c>
      <c r="AK51" s="109" t="s">
        <v>12</v>
      </c>
      <c r="AL51" s="107" t="s">
        <v>12</v>
      </c>
      <c r="AM51" s="108" t="s">
        <v>12</v>
      </c>
      <c r="AN51" s="109" t="s">
        <v>12</v>
      </c>
      <c r="AO51" s="247" t="s">
        <v>291</v>
      </c>
      <c r="AP51" s="110">
        <v>400</v>
      </c>
      <c r="AQ51" s="111"/>
      <c r="AR51" s="129"/>
      <c r="AS51" s="475"/>
    </row>
    <row r="52" spans="1:45" ht="15.75" customHeight="1" thickBot="1">
      <c r="A52" s="429"/>
      <c r="B52" s="430"/>
      <c r="C52" s="431"/>
      <c r="D52" s="457"/>
      <c r="E52" s="458"/>
      <c r="F52" s="457"/>
      <c r="G52" s="434"/>
      <c r="H52" s="435"/>
      <c r="I52" s="11"/>
      <c r="J52" s="436"/>
      <c r="K52" s="459"/>
      <c r="L52" s="437"/>
      <c r="M52" s="438"/>
      <c r="N52" s="460"/>
      <c r="O52" s="461"/>
      <c r="P52" s="441"/>
      <c r="Q52" s="442"/>
      <c r="R52" s="443"/>
      <c r="S52" s="444">
        <v>2</v>
      </c>
      <c r="T52" s="445" t="s">
        <v>85</v>
      </c>
      <c r="U52" s="462"/>
      <c r="V52" s="344" t="s">
        <v>12</v>
      </c>
      <c r="W52" s="446">
        <v>0.32800000000000001</v>
      </c>
      <c r="X52" s="447" t="s">
        <v>12</v>
      </c>
      <c r="Y52" s="463" t="s">
        <v>12</v>
      </c>
      <c r="Z52" s="446" t="s">
        <v>12</v>
      </c>
      <c r="AA52" s="447" t="s">
        <v>12</v>
      </c>
      <c r="AB52" s="463" t="s">
        <v>12</v>
      </c>
      <c r="AC52" s="446" t="s">
        <v>12</v>
      </c>
      <c r="AD52" s="464" t="s">
        <v>12</v>
      </c>
      <c r="AE52" s="444" t="s">
        <v>381</v>
      </c>
      <c r="AF52" s="465" t="s">
        <v>12</v>
      </c>
      <c r="AG52" s="449">
        <v>1.8</v>
      </c>
      <c r="AH52" s="466" t="s">
        <v>12</v>
      </c>
      <c r="AI52" s="465" t="s">
        <v>12</v>
      </c>
      <c r="AJ52" s="449" t="s">
        <v>12</v>
      </c>
      <c r="AK52" s="466" t="s">
        <v>12</v>
      </c>
      <c r="AL52" s="465" t="s">
        <v>12</v>
      </c>
      <c r="AM52" s="449" t="s">
        <v>12</v>
      </c>
      <c r="AN52" s="466" t="s">
        <v>12</v>
      </c>
      <c r="AO52" s="451"/>
      <c r="AP52" s="10"/>
      <c r="AQ52" s="452"/>
      <c r="AR52" s="453"/>
      <c r="AS52" s="479"/>
    </row>
    <row r="53" spans="1:45" ht="15.75" customHeight="1">
      <c r="S53" s="522" t="s">
        <v>353</v>
      </c>
      <c r="T53" s="280" t="s">
        <v>293</v>
      </c>
      <c r="U53" s="16"/>
      <c r="V53" s="16"/>
      <c r="W53" s="16"/>
      <c r="X53" s="16"/>
      <c r="Y53" s="16"/>
      <c r="Z53" s="16"/>
      <c r="AA53" s="16"/>
      <c r="AB53" s="16"/>
      <c r="AC53" s="16"/>
      <c r="AD53" s="522" t="s">
        <v>354</v>
      </c>
      <c r="AE53" s="280" t="s">
        <v>310</v>
      </c>
      <c r="AP53" s="456"/>
    </row>
    <row r="54" spans="1:45" ht="15.75" customHeight="1">
      <c r="S54" s="523"/>
      <c r="T54" s="378" t="s">
        <v>294</v>
      </c>
      <c r="U54" s="16"/>
      <c r="V54" s="16"/>
      <c r="W54" s="16"/>
      <c r="X54" s="16"/>
      <c r="Y54" s="16"/>
      <c r="Z54" s="16"/>
      <c r="AA54" s="16"/>
      <c r="AB54" s="16"/>
      <c r="AC54" s="16"/>
      <c r="AD54" s="16"/>
      <c r="AE54" s="280" t="s">
        <v>304</v>
      </c>
      <c r="AH54" s="16"/>
    </row>
    <row r="55" spans="1:45" ht="15.75" customHeight="1">
      <c r="S55" s="523"/>
      <c r="T55" s="376" t="s">
        <v>370</v>
      </c>
      <c r="U55" s="16"/>
      <c r="V55" s="16"/>
      <c r="W55" s="16"/>
      <c r="X55" s="16"/>
      <c r="Y55" s="16"/>
      <c r="Z55" s="16"/>
      <c r="AA55" s="16"/>
      <c r="AB55" s="16"/>
      <c r="AC55" s="16"/>
      <c r="AD55" s="16"/>
      <c r="AE55" s="378" t="s">
        <v>296</v>
      </c>
    </row>
    <row r="56" spans="1:45" ht="15.75" customHeight="1">
      <c r="S56" s="523"/>
      <c r="T56" s="378" t="s">
        <v>309</v>
      </c>
      <c r="U56" s="16"/>
      <c r="V56" s="16"/>
      <c r="W56" s="16"/>
      <c r="X56" s="16"/>
      <c r="Y56" s="16"/>
      <c r="Z56" s="16"/>
      <c r="AA56" s="16"/>
      <c r="AB56" s="16"/>
      <c r="AC56" s="16"/>
      <c r="AD56" s="16"/>
      <c r="AE56" s="378" t="s">
        <v>312</v>
      </c>
    </row>
    <row r="57" spans="1:45" ht="15.75" customHeight="1">
      <c r="S57" s="523"/>
      <c r="T57" s="378" t="s">
        <v>311</v>
      </c>
      <c r="U57" s="16"/>
      <c r="V57" s="16"/>
      <c r="W57" s="16"/>
      <c r="X57" s="16"/>
      <c r="Y57" s="16"/>
      <c r="Z57" s="16"/>
      <c r="AA57" s="16"/>
      <c r="AB57" s="16"/>
      <c r="AC57" s="16"/>
      <c r="AD57" s="16"/>
      <c r="AE57" s="280" t="s">
        <v>366</v>
      </c>
    </row>
    <row r="58" spans="1:45" ht="15.75" customHeight="1">
      <c r="S58" s="523"/>
      <c r="T58" s="280" t="s">
        <v>371</v>
      </c>
      <c r="U58" s="16"/>
      <c r="V58" s="16"/>
      <c r="W58" s="16"/>
      <c r="X58" s="16"/>
      <c r="Y58" s="16"/>
      <c r="Z58" s="16"/>
      <c r="AA58" s="16"/>
      <c r="AB58" s="16"/>
      <c r="AC58" s="16"/>
      <c r="AD58" s="16"/>
      <c r="AE58" s="378" t="s">
        <v>297</v>
      </c>
    </row>
    <row r="59" spans="1:45" ht="15.75" customHeight="1">
      <c r="S59" s="523"/>
      <c r="T59" s="378" t="s">
        <v>298</v>
      </c>
      <c r="U59" s="16"/>
      <c r="V59" s="16"/>
      <c r="W59" s="16"/>
      <c r="X59" s="16"/>
      <c r="Y59" s="16"/>
      <c r="Z59" s="16"/>
      <c r="AA59" s="16"/>
      <c r="AB59" s="16"/>
      <c r="AC59" s="16"/>
      <c r="AD59" s="16"/>
      <c r="AE59" s="280" t="s">
        <v>305</v>
      </c>
    </row>
    <row r="60" spans="1:45" ht="15.75" customHeight="1">
      <c r="S60" s="523"/>
      <c r="T60" s="378" t="s">
        <v>299</v>
      </c>
      <c r="U60" s="16"/>
      <c r="V60" s="16"/>
      <c r="W60" s="16"/>
      <c r="X60" s="16"/>
      <c r="Y60" s="16"/>
      <c r="Z60" s="16"/>
      <c r="AA60" s="16"/>
      <c r="AB60" s="16"/>
      <c r="AC60" s="16"/>
      <c r="AD60" s="16"/>
      <c r="AE60" s="378" t="s">
        <v>300</v>
      </c>
    </row>
    <row r="61" spans="1:45" ht="15.75" customHeight="1">
      <c r="S61" s="523"/>
      <c r="T61" s="280" t="s">
        <v>372</v>
      </c>
      <c r="U61" s="16"/>
      <c r="V61" s="16"/>
      <c r="W61" s="16"/>
      <c r="X61" s="16"/>
      <c r="Y61" s="16"/>
      <c r="Z61" s="16"/>
      <c r="AA61" s="16"/>
      <c r="AB61" s="16"/>
      <c r="AC61" s="16"/>
      <c r="AD61" s="16"/>
      <c r="AE61" s="280" t="s">
        <v>374</v>
      </c>
    </row>
    <row r="62" spans="1:45" ht="15.75" customHeight="1">
      <c r="S62" s="523"/>
      <c r="T62" s="280" t="s">
        <v>373</v>
      </c>
      <c r="U62" s="16"/>
      <c r="V62" s="16"/>
      <c r="W62" s="16"/>
      <c r="X62" s="16"/>
      <c r="Y62" s="16"/>
      <c r="Z62" s="16"/>
      <c r="AA62" s="16"/>
      <c r="AB62" s="16"/>
      <c r="AC62" s="16"/>
      <c r="AD62" s="16"/>
      <c r="AE62" s="280" t="s">
        <v>367</v>
      </c>
    </row>
    <row r="63" spans="1:45" ht="15.75" customHeight="1">
      <c r="S63" s="523"/>
      <c r="T63" s="280" t="s">
        <v>301</v>
      </c>
      <c r="U63" s="16"/>
      <c r="V63" s="16"/>
      <c r="W63" s="16"/>
      <c r="X63" s="16"/>
      <c r="Y63" s="16"/>
      <c r="Z63" s="16"/>
      <c r="AA63" s="16"/>
      <c r="AB63" s="16"/>
      <c r="AC63" s="16"/>
      <c r="AD63" s="16"/>
      <c r="AE63" s="280" t="s">
        <v>368</v>
      </c>
    </row>
    <row r="64" spans="1:45" ht="15.75" customHeight="1">
      <c r="S64" s="523"/>
      <c r="T64" s="280" t="s">
        <v>308</v>
      </c>
      <c r="U64" s="16"/>
      <c r="V64" s="16"/>
      <c r="W64" s="16"/>
      <c r="X64" s="16"/>
      <c r="Y64" s="16"/>
      <c r="Z64" s="16"/>
      <c r="AA64" s="16"/>
      <c r="AB64" s="16"/>
      <c r="AC64" s="16"/>
      <c r="AD64" s="16"/>
      <c r="AE64" s="378" t="s">
        <v>313</v>
      </c>
    </row>
    <row r="65" spans="20:31" ht="17.100000000000001" customHeight="1">
      <c r="T65" s="16" t="s">
        <v>295</v>
      </c>
      <c r="U65" s="16"/>
      <c r="V65" s="16"/>
      <c r="W65" s="16"/>
      <c r="X65" s="16"/>
      <c r="Y65" s="16"/>
      <c r="Z65" s="16"/>
      <c r="AA65" s="16"/>
      <c r="AB65" s="16"/>
      <c r="AC65" s="16"/>
      <c r="AD65" s="16"/>
      <c r="AE65" s="378" t="s">
        <v>306</v>
      </c>
    </row>
    <row r="66" spans="20:31" ht="17.100000000000001" customHeight="1">
      <c r="T66" s="16" t="s">
        <v>295</v>
      </c>
      <c r="U66" s="16"/>
      <c r="V66" s="16"/>
      <c r="W66" s="16"/>
      <c r="X66" s="16"/>
      <c r="Y66" s="16"/>
      <c r="Z66" s="16"/>
      <c r="AA66" s="16"/>
      <c r="AB66" s="16"/>
      <c r="AC66" s="16"/>
      <c r="AD66" s="16"/>
      <c r="AE66" s="280" t="s">
        <v>302</v>
      </c>
    </row>
    <row r="67" spans="20:31" ht="17.100000000000001" customHeight="1">
      <c r="T67" s="16" t="s">
        <v>295</v>
      </c>
      <c r="U67" s="16"/>
      <c r="V67" s="16"/>
      <c r="W67" s="16"/>
      <c r="X67" s="16"/>
      <c r="Y67" s="16"/>
      <c r="Z67" s="16"/>
      <c r="AA67" s="16"/>
      <c r="AB67" s="16"/>
      <c r="AC67" s="16"/>
      <c r="AD67" s="16"/>
      <c r="AE67" s="378" t="s">
        <v>369</v>
      </c>
    </row>
    <row r="68" spans="20:31" ht="17.100000000000001" customHeight="1">
      <c r="T68" s="16" t="s">
        <v>295</v>
      </c>
      <c r="U68" s="16"/>
      <c r="V68" s="16"/>
      <c r="W68" s="16"/>
      <c r="X68" s="16"/>
      <c r="Y68" s="16"/>
      <c r="Z68" s="16"/>
      <c r="AA68" s="16"/>
      <c r="AB68" s="16"/>
      <c r="AC68" s="16"/>
      <c r="AD68" s="16"/>
      <c r="AE68" s="495" t="s">
        <v>303</v>
      </c>
    </row>
    <row r="69" spans="20:31" ht="17.100000000000001" customHeight="1">
      <c r="T69" s="16" t="s">
        <v>295</v>
      </c>
      <c r="U69" s="16"/>
      <c r="V69" s="16"/>
      <c r="W69" s="16"/>
      <c r="X69" s="16"/>
      <c r="Y69" s="16"/>
      <c r="Z69" s="16"/>
      <c r="AA69" s="16"/>
      <c r="AB69" s="16"/>
      <c r="AC69" s="16"/>
      <c r="AD69" s="16"/>
      <c r="AE69" s="378" t="s">
        <v>307</v>
      </c>
    </row>
    <row r="88" spans="20:31" ht="17.100000000000001" customHeight="1">
      <c r="T88" s="494" t="str">
        <f t="shared" ref="T88:AE88" si="0">PROPER(T70)</f>
        <v/>
      </c>
      <c r="U88" s="494" t="str">
        <f t="shared" si="0"/>
        <v/>
      </c>
      <c r="V88" s="494" t="str">
        <f t="shared" si="0"/>
        <v/>
      </c>
      <c r="W88" s="494" t="str">
        <f t="shared" si="0"/>
        <v/>
      </c>
      <c r="X88" s="494" t="str">
        <f t="shared" si="0"/>
        <v/>
      </c>
      <c r="Y88" s="494" t="str">
        <f t="shared" si="0"/>
        <v/>
      </c>
      <c r="Z88" s="494" t="str">
        <f t="shared" si="0"/>
        <v/>
      </c>
      <c r="AA88" s="494" t="str">
        <f t="shared" si="0"/>
        <v/>
      </c>
      <c r="AB88" s="494" t="str">
        <f t="shared" si="0"/>
        <v/>
      </c>
      <c r="AC88" s="494" t="str">
        <f t="shared" si="0"/>
        <v/>
      </c>
      <c r="AD88" s="494" t="str">
        <f t="shared" si="0"/>
        <v/>
      </c>
      <c r="AE88" s="494" t="str">
        <f t="shared" si="0"/>
        <v/>
      </c>
    </row>
    <row r="89" spans="20:31" ht="17.100000000000001" customHeight="1">
      <c r="U89" s="494" t="str">
        <f t="shared" ref="U89:AD89" si="1">PROPER(U71)</f>
        <v/>
      </c>
      <c r="V89" s="494" t="str">
        <f t="shared" si="1"/>
        <v/>
      </c>
      <c r="W89" s="494" t="str">
        <f t="shared" si="1"/>
        <v/>
      </c>
      <c r="X89" s="494" t="str">
        <f t="shared" si="1"/>
        <v/>
      </c>
      <c r="Y89" s="494" t="str">
        <f t="shared" si="1"/>
        <v/>
      </c>
      <c r="Z89" s="494" t="str">
        <f t="shared" si="1"/>
        <v/>
      </c>
      <c r="AA89" s="494" t="str">
        <f t="shared" si="1"/>
        <v/>
      </c>
      <c r="AB89" s="494" t="str">
        <f t="shared" si="1"/>
        <v/>
      </c>
      <c r="AC89" s="494" t="str">
        <f t="shared" si="1"/>
        <v/>
      </c>
      <c r="AD89" s="494" t="str">
        <f t="shared" si="1"/>
        <v/>
      </c>
    </row>
  </sheetData>
  <mergeCells count="20">
    <mergeCell ref="AO1:AR1"/>
    <mergeCell ref="AO2:AR2"/>
    <mergeCell ref="H45:K45"/>
    <mergeCell ref="M45:O45"/>
    <mergeCell ref="V45:AD45"/>
    <mergeCell ref="H3:K3"/>
    <mergeCell ref="P2:Q2"/>
    <mergeCell ref="M1:O1"/>
    <mergeCell ref="V1:AD1"/>
    <mergeCell ref="N2:O2"/>
    <mergeCell ref="L1:L3"/>
    <mergeCell ref="P1:R1"/>
    <mergeCell ref="AF1:AN1"/>
    <mergeCell ref="M2:M3"/>
    <mergeCell ref="R2:R3"/>
    <mergeCell ref="A1:A3"/>
    <mergeCell ref="B1:B3"/>
    <mergeCell ref="C1:C3"/>
    <mergeCell ref="D1:F1"/>
    <mergeCell ref="H1:K2"/>
  </mergeCells>
  <phoneticPr fontId="1"/>
  <printOptions horizontalCentered="1"/>
  <pageMargins left="0.59055118110236227" right="0.39370078740157483" top="0.59055118110236227" bottom="0.19685039370078741" header="0.31496062992125984" footer="0.27559055118110237"/>
  <pageSetup paperSize="8" pageOrder="overThenDown" orientation="landscape" r:id="rId1"/>
  <headerFooter alignWithMargins="0">
    <oddHeader>&amp;C&amp;"ＭＳ ゴシック,太字 斜体"&amp;16&amp;H          塔状構造物の減衰データベース一覧　　　&amp;R&amp;"ＭＳ Ｐ明朝,太字 斜体"平成&amp;"Times New Roman,太字 斜体"27&amp;"ＭＳ Ｐ明朝,太字 斜体"年&amp;"Times New Roman,太字 斜体"11&amp;"ＭＳ Ｐ明朝,太字 斜体"月&amp;"Times New Roman,太字 斜体"30&amp;"ＭＳ Ｐ明朝,太字 斜体"日現在　</oddHeader>
    <oddFooter>&amp;R&amp;"ＭＳ Ｐ明朝,太字 斜体"Page &amp;P&amp;11/&amp;N</oddFooter>
  </headerFooter>
  <ignoredErrors>
    <ignoredError sqref="U4:U5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188"/>
  <sheetViews>
    <sheetView topLeftCell="T1" zoomScaleNormal="100" workbookViewId="0">
      <selection activeCell="AP136" sqref="AP136"/>
    </sheetView>
  </sheetViews>
  <sheetFormatPr defaultColWidth="10.625" defaultRowHeight="17.100000000000001" customHeight="1"/>
  <cols>
    <col min="1" max="1" width="9.75" style="345" bestFit="1" customWidth="1"/>
    <col min="2" max="3" width="9.25" style="16" bestFit="1" customWidth="1"/>
    <col min="4" max="4" width="5.25" style="16" bestFit="1" customWidth="1"/>
    <col min="5" max="5" width="4.375" style="16" bestFit="1" customWidth="1"/>
    <col min="6" max="6" width="4.625" style="16" bestFit="1" customWidth="1"/>
    <col min="7" max="7" width="6.875" style="16" bestFit="1" customWidth="1"/>
    <col min="8" max="8" width="4.25" style="16" customWidth="1"/>
    <col min="9" max="9" width="3" style="16" bestFit="1" customWidth="1"/>
    <col min="10" max="10" width="4.25" style="16" bestFit="1" customWidth="1"/>
    <col min="11" max="11" width="5.875" style="16" bestFit="1" customWidth="1"/>
    <col min="12" max="12" width="14.375" style="231" bestFit="1" customWidth="1"/>
    <col min="13" max="13" width="5.25" style="16" customWidth="1"/>
    <col min="14" max="14" width="5" style="16" bestFit="1" customWidth="1"/>
    <col min="15" max="15" width="5.25" style="16" bestFit="1" customWidth="1"/>
    <col min="16" max="16" width="7.25" style="16" bestFit="1" customWidth="1"/>
    <col min="17" max="17" width="6.375" style="16" bestFit="1" customWidth="1"/>
    <col min="18" max="18" width="6.125" style="16" bestFit="1" customWidth="1"/>
    <col min="19" max="19" width="10.5" style="16" bestFit="1" customWidth="1"/>
    <col min="20" max="20" width="13.375" style="16" bestFit="1" customWidth="1"/>
    <col min="21" max="21" width="9.125" style="16" bestFit="1" customWidth="1"/>
    <col min="22" max="30" width="5.25" style="16" customWidth="1"/>
    <col min="31" max="31" width="16.125" style="16" bestFit="1" customWidth="1"/>
    <col min="32" max="40" width="5.25" style="16" customWidth="1"/>
    <col min="41" max="41" width="10.75" style="231" customWidth="1"/>
    <col min="42" max="44" width="15.625" style="16" customWidth="1"/>
    <col min="45" max="45" width="16.125" style="16" bestFit="1" customWidth="1"/>
    <col min="46" max="46" width="16.75" style="16" bestFit="1" customWidth="1"/>
    <col min="47" max="16384" width="10.625" style="153"/>
  </cols>
  <sheetData>
    <row r="1" spans="1:46" s="377" customFormat="1" ht="15.75" customHeight="1">
      <c r="A1" s="534" t="s">
        <v>363</v>
      </c>
      <c r="B1" s="537" t="s">
        <v>256</v>
      </c>
      <c r="C1" s="540" t="s">
        <v>345</v>
      </c>
      <c r="D1" s="543" t="s">
        <v>346</v>
      </c>
      <c r="E1" s="544"/>
      <c r="F1" s="545"/>
      <c r="G1" s="480" t="s">
        <v>315</v>
      </c>
      <c r="H1" s="546" t="s">
        <v>317</v>
      </c>
      <c r="I1" s="547"/>
      <c r="J1" s="547"/>
      <c r="K1" s="548"/>
      <c r="L1" s="572" t="s">
        <v>318</v>
      </c>
      <c r="M1" s="566" t="s">
        <v>319</v>
      </c>
      <c r="N1" s="567"/>
      <c r="O1" s="568"/>
      <c r="P1" s="566" t="s">
        <v>320</v>
      </c>
      <c r="Q1" s="567"/>
      <c r="R1" s="575"/>
      <c r="S1" s="481" t="s">
        <v>323</v>
      </c>
      <c r="T1" s="482" t="s">
        <v>258</v>
      </c>
      <c r="U1" s="480" t="s">
        <v>257</v>
      </c>
      <c r="V1" s="586" t="s">
        <v>340</v>
      </c>
      <c r="W1" s="587"/>
      <c r="X1" s="587"/>
      <c r="Y1" s="587"/>
      <c r="Z1" s="587"/>
      <c r="AA1" s="587"/>
      <c r="AB1" s="587"/>
      <c r="AC1" s="587"/>
      <c r="AD1" s="588"/>
      <c r="AE1" s="3" t="s">
        <v>267</v>
      </c>
      <c r="AF1" s="586" t="s">
        <v>336</v>
      </c>
      <c r="AG1" s="587"/>
      <c r="AH1" s="587"/>
      <c r="AI1" s="587"/>
      <c r="AJ1" s="587"/>
      <c r="AK1" s="587"/>
      <c r="AL1" s="587"/>
      <c r="AM1" s="587"/>
      <c r="AN1" s="588"/>
      <c r="AO1" s="580" t="s">
        <v>268</v>
      </c>
      <c r="AP1" s="581"/>
      <c r="AQ1" s="581"/>
      <c r="AR1" s="582"/>
      <c r="AS1" s="257"/>
    </row>
    <row r="2" spans="1:46" s="377" customFormat="1" ht="24" customHeight="1">
      <c r="A2" s="535"/>
      <c r="B2" s="538"/>
      <c r="C2" s="541"/>
      <c r="D2" s="483" t="s">
        <v>259</v>
      </c>
      <c r="E2" s="377" t="s">
        <v>260</v>
      </c>
      <c r="F2" s="484" t="s">
        <v>261</v>
      </c>
      <c r="G2" s="485" t="s">
        <v>347</v>
      </c>
      <c r="H2" s="549"/>
      <c r="I2" s="550"/>
      <c r="J2" s="550"/>
      <c r="K2" s="551"/>
      <c r="L2" s="573"/>
      <c r="M2" s="576" t="s">
        <v>262</v>
      </c>
      <c r="N2" s="564" t="s">
        <v>263</v>
      </c>
      <c r="O2" s="565"/>
      <c r="P2" s="564" t="s">
        <v>340</v>
      </c>
      <c r="Q2" s="565"/>
      <c r="R2" s="578" t="s">
        <v>348</v>
      </c>
      <c r="S2" s="486" t="s">
        <v>341</v>
      </c>
      <c r="T2" s="487" t="s">
        <v>341</v>
      </c>
      <c r="U2" s="485" t="s">
        <v>342</v>
      </c>
      <c r="V2" s="525" t="s">
        <v>324</v>
      </c>
      <c r="W2" s="488"/>
      <c r="X2" s="489"/>
      <c r="Y2" s="525" t="s">
        <v>325</v>
      </c>
      <c r="Z2" s="526"/>
      <c r="AA2" s="527"/>
      <c r="AB2" s="528" t="s">
        <v>326</v>
      </c>
      <c r="AC2" s="526"/>
      <c r="AD2" s="527"/>
      <c r="AE2" s="4" t="s">
        <v>337</v>
      </c>
      <c r="AF2" s="525" t="s">
        <v>324</v>
      </c>
      <c r="AG2" s="488"/>
      <c r="AH2" s="489"/>
      <c r="AI2" s="525" t="s">
        <v>325</v>
      </c>
      <c r="AJ2" s="526"/>
      <c r="AK2" s="527"/>
      <c r="AL2" s="528" t="s">
        <v>326</v>
      </c>
      <c r="AM2" s="526"/>
      <c r="AN2" s="527"/>
      <c r="AO2" s="583" t="s">
        <v>356</v>
      </c>
      <c r="AP2" s="584"/>
      <c r="AQ2" s="584"/>
      <c r="AR2" s="585"/>
      <c r="AS2" s="467" t="s">
        <v>101</v>
      </c>
    </row>
    <row r="3" spans="1:46" s="377" customFormat="1" ht="24" customHeight="1" thickBot="1">
      <c r="A3" s="536"/>
      <c r="B3" s="539"/>
      <c r="C3" s="542"/>
      <c r="D3" s="490" t="s">
        <v>349</v>
      </c>
      <c r="E3" s="491" t="s">
        <v>254</v>
      </c>
      <c r="F3" s="492" t="s">
        <v>350</v>
      </c>
      <c r="G3" s="493" t="s">
        <v>264</v>
      </c>
      <c r="H3" s="561" t="s">
        <v>316</v>
      </c>
      <c r="I3" s="562"/>
      <c r="J3" s="562"/>
      <c r="K3" s="563"/>
      <c r="L3" s="574"/>
      <c r="M3" s="577"/>
      <c r="N3" s="517" t="s">
        <v>351</v>
      </c>
      <c r="O3" s="518" t="s">
        <v>265</v>
      </c>
      <c r="P3" s="519" t="s">
        <v>321</v>
      </c>
      <c r="Q3" s="520" t="s">
        <v>322</v>
      </c>
      <c r="R3" s="579"/>
      <c r="S3" s="430" t="s">
        <v>266</v>
      </c>
      <c r="T3" s="493" t="s">
        <v>361</v>
      </c>
      <c r="U3" s="493" t="s">
        <v>343</v>
      </c>
      <c r="V3" s="519" t="s">
        <v>327</v>
      </c>
      <c r="W3" s="529" t="s">
        <v>328</v>
      </c>
      <c r="X3" s="520" t="s">
        <v>329</v>
      </c>
      <c r="Y3" s="519" t="s">
        <v>327</v>
      </c>
      <c r="Z3" s="529" t="s">
        <v>328</v>
      </c>
      <c r="AA3" s="520" t="s">
        <v>329</v>
      </c>
      <c r="AB3" s="519" t="s">
        <v>327</v>
      </c>
      <c r="AC3" s="529" t="s">
        <v>328</v>
      </c>
      <c r="AD3" s="520" t="s">
        <v>329</v>
      </c>
      <c r="AE3" s="524" t="s">
        <v>362</v>
      </c>
      <c r="AF3" s="519" t="s">
        <v>327</v>
      </c>
      <c r="AG3" s="529" t="s">
        <v>328</v>
      </c>
      <c r="AH3" s="520" t="s">
        <v>329</v>
      </c>
      <c r="AI3" s="519" t="s">
        <v>327</v>
      </c>
      <c r="AJ3" s="529" t="s">
        <v>328</v>
      </c>
      <c r="AK3" s="520" t="s">
        <v>329</v>
      </c>
      <c r="AL3" s="519" t="s">
        <v>327</v>
      </c>
      <c r="AM3" s="529" t="s">
        <v>328</v>
      </c>
      <c r="AN3" s="520" t="s">
        <v>329</v>
      </c>
      <c r="AO3" s="496" t="s">
        <v>338</v>
      </c>
      <c r="AP3" s="530" t="s">
        <v>330</v>
      </c>
      <c r="AQ3" s="531" t="s">
        <v>331</v>
      </c>
      <c r="AR3" s="532" t="s">
        <v>332</v>
      </c>
      <c r="AS3" s="429"/>
    </row>
    <row r="4" spans="1:46" ht="15.75" customHeight="1">
      <c r="A4" s="257" t="s">
        <v>106</v>
      </c>
      <c r="B4" s="256"/>
      <c r="C4" s="258">
        <v>1962</v>
      </c>
      <c r="D4" s="259" t="s">
        <v>12</v>
      </c>
      <c r="E4" s="260" t="s">
        <v>12</v>
      </c>
      <c r="F4" s="5" t="s">
        <v>12</v>
      </c>
      <c r="G4" s="384">
        <v>226</v>
      </c>
      <c r="H4" s="261">
        <v>32</v>
      </c>
      <c r="I4" s="6" t="s">
        <v>314</v>
      </c>
      <c r="J4" s="17">
        <v>32</v>
      </c>
      <c r="K4" s="6"/>
      <c r="L4" s="347" t="s">
        <v>275</v>
      </c>
      <c r="M4" s="262"/>
      <c r="N4" s="263"/>
      <c r="O4" s="264"/>
      <c r="P4" s="265"/>
      <c r="Q4" s="29"/>
      <c r="R4" s="266"/>
      <c r="S4" s="24">
        <v>1</v>
      </c>
      <c r="T4" s="267"/>
      <c r="U4" s="268"/>
      <c r="V4" s="269">
        <v>1.6659999999999999</v>
      </c>
      <c r="W4" s="270">
        <v>0.61699999999999999</v>
      </c>
      <c r="X4" s="271" t="s">
        <v>12</v>
      </c>
      <c r="Y4" s="272">
        <v>1.754</v>
      </c>
      <c r="Z4" s="270">
        <v>0.63300000000000001</v>
      </c>
      <c r="AA4" s="271" t="s">
        <v>12</v>
      </c>
      <c r="AB4" s="272">
        <v>0.52400000000000002</v>
      </c>
      <c r="AC4" s="270" t="s">
        <v>12</v>
      </c>
      <c r="AD4" s="273" t="s">
        <v>12</v>
      </c>
      <c r="AE4" s="24"/>
      <c r="AF4" s="32">
        <v>0.6</v>
      </c>
      <c r="AG4" s="33">
        <v>0.36</v>
      </c>
      <c r="AH4" s="34" t="s">
        <v>12</v>
      </c>
      <c r="AI4" s="32">
        <v>0.69</v>
      </c>
      <c r="AJ4" s="33">
        <v>0.91</v>
      </c>
      <c r="AK4" s="34" t="s">
        <v>12</v>
      </c>
      <c r="AL4" s="32">
        <v>2.2000000000000002</v>
      </c>
      <c r="AM4" s="33" t="s">
        <v>12</v>
      </c>
      <c r="AN4" s="34" t="s">
        <v>12</v>
      </c>
      <c r="AO4" s="244"/>
      <c r="AP4" s="35"/>
      <c r="AQ4" s="36"/>
      <c r="AR4" s="37"/>
      <c r="AS4" s="274"/>
      <c r="AT4" s="419"/>
    </row>
    <row r="5" spans="1:46" ht="15.75" customHeight="1">
      <c r="A5" s="38"/>
      <c r="B5" s="39"/>
      <c r="C5" s="40"/>
      <c r="D5" s="41"/>
      <c r="E5" s="42"/>
      <c r="F5" s="41"/>
      <c r="G5" s="385"/>
      <c r="H5" s="43"/>
      <c r="I5" s="44"/>
      <c r="J5" s="45"/>
      <c r="K5" s="44"/>
      <c r="L5" s="238"/>
      <c r="M5" s="47"/>
      <c r="N5" s="48"/>
      <c r="O5" s="49"/>
      <c r="P5" s="50"/>
      <c r="Q5" s="51"/>
      <c r="R5" s="52"/>
      <c r="S5" s="53">
        <v>2</v>
      </c>
      <c r="T5" s="149" t="s">
        <v>85</v>
      </c>
      <c r="U5" s="156"/>
      <c r="V5" s="151">
        <v>1.7</v>
      </c>
      <c r="W5" s="139">
        <v>0.62</v>
      </c>
      <c r="X5" s="140" t="s">
        <v>12</v>
      </c>
      <c r="Y5" s="141" t="s">
        <v>12</v>
      </c>
      <c r="Z5" s="139" t="s">
        <v>12</v>
      </c>
      <c r="AA5" s="140" t="s">
        <v>12</v>
      </c>
      <c r="AB5" s="141">
        <v>0.54</v>
      </c>
      <c r="AC5" s="139" t="s">
        <v>12</v>
      </c>
      <c r="AD5" s="142" t="s">
        <v>12</v>
      </c>
      <c r="AE5" s="53" t="s">
        <v>91</v>
      </c>
      <c r="AF5" s="59">
        <v>0.6</v>
      </c>
      <c r="AG5" s="60" t="s">
        <v>12</v>
      </c>
      <c r="AH5" s="61" t="s">
        <v>12</v>
      </c>
      <c r="AI5" s="59" t="s">
        <v>12</v>
      </c>
      <c r="AJ5" s="60" t="s">
        <v>12</v>
      </c>
      <c r="AK5" s="61" t="s">
        <v>12</v>
      </c>
      <c r="AL5" s="59" t="s">
        <v>12</v>
      </c>
      <c r="AM5" s="60" t="s">
        <v>12</v>
      </c>
      <c r="AN5" s="61" t="s">
        <v>12</v>
      </c>
      <c r="AO5" s="245"/>
      <c r="AP5" s="62"/>
      <c r="AQ5" s="63"/>
      <c r="AR5" s="64"/>
      <c r="AS5" s="275"/>
      <c r="AT5" s="420" t="s">
        <v>397</v>
      </c>
    </row>
    <row r="6" spans="1:46" s="280" customFormat="1" ht="15.75" customHeight="1">
      <c r="A6" s="157" t="s">
        <v>107</v>
      </c>
      <c r="B6" s="158"/>
      <c r="C6" s="159"/>
      <c r="D6" s="160" t="s">
        <v>38</v>
      </c>
      <c r="E6" s="161" t="s">
        <v>38</v>
      </c>
      <c r="F6" s="160" t="s">
        <v>38</v>
      </c>
      <c r="G6" s="386">
        <v>226</v>
      </c>
      <c r="H6" s="162">
        <v>32</v>
      </c>
      <c r="I6" s="163" t="s">
        <v>314</v>
      </c>
      <c r="J6" s="164">
        <v>32</v>
      </c>
      <c r="K6" s="163"/>
      <c r="L6" s="240" t="s">
        <v>275</v>
      </c>
      <c r="M6" s="166"/>
      <c r="N6" s="167"/>
      <c r="O6" s="168"/>
      <c r="P6" s="169"/>
      <c r="Q6" s="170"/>
      <c r="R6" s="171"/>
      <c r="S6" s="172"/>
      <c r="T6" s="276"/>
      <c r="U6" s="173"/>
      <c r="V6" s="174"/>
      <c r="W6" s="175"/>
      <c r="X6" s="176"/>
      <c r="Y6" s="177">
        <f>1/0.59</f>
        <v>1.6949152542372883</v>
      </c>
      <c r="Z6" s="175">
        <f>1/1.62</f>
        <v>0.61728395061728392</v>
      </c>
      <c r="AA6" s="176"/>
      <c r="AB6" s="177">
        <f>1/1.85</f>
        <v>0.54054054054054046</v>
      </c>
      <c r="AC6" s="175"/>
      <c r="AD6" s="178"/>
      <c r="AE6" s="172"/>
      <c r="AF6" s="179"/>
      <c r="AG6" s="277"/>
      <c r="AH6" s="278"/>
      <c r="AI6" s="179">
        <v>0.59</v>
      </c>
      <c r="AJ6" s="277"/>
      <c r="AK6" s="278"/>
      <c r="AL6" s="179">
        <v>2.1800000000000002</v>
      </c>
      <c r="AM6" s="277"/>
      <c r="AN6" s="278"/>
      <c r="AO6" s="252"/>
      <c r="AP6" s="181"/>
      <c r="AQ6" s="182"/>
      <c r="AR6" s="112"/>
      <c r="AS6" s="279" t="s">
        <v>390</v>
      </c>
      <c r="AT6" s="421" t="s">
        <v>397</v>
      </c>
    </row>
    <row r="7" spans="1:46" s="280" customFormat="1" ht="15.75" customHeight="1">
      <c r="A7" s="38"/>
      <c r="B7" s="39"/>
      <c r="C7" s="40"/>
      <c r="D7" s="41"/>
      <c r="E7" s="42"/>
      <c r="F7" s="41"/>
      <c r="G7" s="385"/>
      <c r="H7" s="43"/>
      <c r="I7" s="44"/>
      <c r="J7" s="45"/>
      <c r="K7" s="44"/>
      <c r="L7" s="238"/>
      <c r="M7" s="47"/>
      <c r="N7" s="48"/>
      <c r="O7" s="49"/>
      <c r="P7" s="50"/>
      <c r="Q7" s="51"/>
      <c r="R7" s="52"/>
      <c r="S7" s="53"/>
      <c r="T7" s="281"/>
      <c r="U7" s="156"/>
      <c r="V7" s="151"/>
      <c r="W7" s="139"/>
      <c r="X7" s="140"/>
      <c r="Y7" s="141">
        <f>1/0.61</f>
        <v>1.639344262295082</v>
      </c>
      <c r="Z7" s="139">
        <f>1/1.63</f>
        <v>0.61349693251533743</v>
      </c>
      <c r="AA7" s="140"/>
      <c r="AB7" s="141">
        <f>1/1.88</f>
        <v>0.53191489361702127</v>
      </c>
      <c r="AC7" s="139"/>
      <c r="AD7" s="142"/>
      <c r="AE7" s="53"/>
      <c r="AF7" s="59"/>
      <c r="AG7" s="60"/>
      <c r="AH7" s="61"/>
      <c r="AI7" s="59">
        <v>0.48</v>
      </c>
      <c r="AJ7" s="60"/>
      <c r="AK7" s="61"/>
      <c r="AL7" s="59">
        <v>2.37</v>
      </c>
      <c r="AM7" s="60"/>
      <c r="AN7" s="61"/>
      <c r="AO7" s="245"/>
      <c r="AP7" s="62"/>
      <c r="AQ7" s="63"/>
      <c r="AR7" s="64"/>
      <c r="AS7" s="282"/>
      <c r="AT7" s="422" t="s">
        <v>398</v>
      </c>
    </row>
    <row r="8" spans="1:46" s="280" customFormat="1" ht="15.75" customHeight="1">
      <c r="A8" s="157" t="s">
        <v>108</v>
      </c>
      <c r="B8" s="158"/>
      <c r="C8" s="159"/>
      <c r="D8" s="160" t="s">
        <v>38</v>
      </c>
      <c r="E8" s="161" t="s">
        <v>38</v>
      </c>
      <c r="F8" s="160" t="s">
        <v>38</v>
      </c>
      <c r="G8" s="386">
        <v>160</v>
      </c>
      <c r="H8" s="162">
        <v>24</v>
      </c>
      <c r="I8" s="163" t="s">
        <v>314</v>
      </c>
      <c r="J8" s="164">
        <v>24</v>
      </c>
      <c r="K8" s="163"/>
      <c r="L8" s="240" t="s">
        <v>275</v>
      </c>
      <c r="M8" s="166"/>
      <c r="N8" s="167"/>
      <c r="O8" s="168"/>
      <c r="P8" s="169"/>
      <c r="Q8" s="170"/>
      <c r="R8" s="171"/>
      <c r="S8" s="172"/>
      <c r="T8" s="276" t="s">
        <v>95</v>
      </c>
      <c r="U8" s="173"/>
      <c r="V8" s="174">
        <f>1/0.6</f>
        <v>1.6666666666666667</v>
      </c>
      <c r="W8" s="175">
        <f>1/1.68</f>
        <v>0.59523809523809523</v>
      </c>
      <c r="X8" s="176"/>
      <c r="Y8" s="177">
        <f>1/0.61</f>
        <v>1.639344262295082</v>
      </c>
      <c r="Z8" s="175">
        <f>1/1.76</f>
        <v>0.56818181818181823</v>
      </c>
      <c r="AA8" s="176"/>
      <c r="AB8" s="177"/>
      <c r="AC8" s="175"/>
      <c r="AD8" s="178"/>
      <c r="AE8" s="172"/>
      <c r="AF8" s="179">
        <v>1.27</v>
      </c>
      <c r="AG8" s="277"/>
      <c r="AH8" s="278"/>
      <c r="AI8" s="179">
        <v>1.07</v>
      </c>
      <c r="AJ8" s="277"/>
      <c r="AK8" s="278"/>
      <c r="AL8" s="179"/>
      <c r="AM8" s="277"/>
      <c r="AN8" s="278"/>
      <c r="AO8" s="252"/>
      <c r="AP8" s="181"/>
      <c r="AQ8" s="182"/>
      <c r="AR8" s="112"/>
      <c r="AS8" s="279" t="s">
        <v>391</v>
      </c>
      <c r="AT8" s="421" t="s">
        <v>397</v>
      </c>
    </row>
    <row r="9" spans="1:46" s="280" customFormat="1" ht="15.75" customHeight="1">
      <c r="A9" s="38"/>
      <c r="B9" s="39"/>
      <c r="C9" s="40"/>
      <c r="D9" s="41"/>
      <c r="E9" s="42"/>
      <c r="F9" s="41"/>
      <c r="G9" s="385"/>
      <c r="H9" s="43"/>
      <c r="I9" s="44"/>
      <c r="J9" s="45"/>
      <c r="K9" s="44"/>
      <c r="L9" s="238"/>
      <c r="M9" s="47"/>
      <c r="N9" s="48"/>
      <c r="O9" s="49"/>
      <c r="P9" s="50"/>
      <c r="Q9" s="51"/>
      <c r="R9" s="52"/>
      <c r="S9" s="53"/>
      <c r="T9" s="281" t="s">
        <v>95</v>
      </c>
      <c r="U9" s="156"/>
      <c r="V9" s="151">
        <f>1/0.59</f>
        <v>1.6949152542372883</v>
      </c>
      <c r="W9" s="139">
        <f>1/1.66</f>
        <v>0.60240963855421692</v>
      </c>
      <c r="X9" s="140"/>
      <c r="Y9" s="141">
        <f>1/0.68</f>
        <v>1.4705882352941175</v>
      </c>
      <c r="Z9" s="139">
        <f>1/1.76</f>
        <v>0.56818181818181823</v>
      </c>
      <c r="AA9" s="140"/>
      <c r="AB9" s="141"/>
      <c r="AC9" s="139"/>
      <c r="AD9" s="142"/>
      <c r="AE9" s="53"/>
      <c r="AF9" s="59">
        <v>2.65</v>
      </c>
      <c r="AG9" s="60"/>
      <c r="AH9" s="61"/>
      <c r="AI9" s="59">
        <v>1.46</v>
      </c>
      <c r="AJ9" s="60"/>
      <c r="AK9" s="61"/>
      <c r="AL9" s="59"/>
      <c r="AM9" s="60"/>
      <c r="AN9" s="61"/>
      <c r="AO9" s="245"/>
      <c r="AP9" s="62"/>
      <c r="AQ9" s="63"/>
      <c r="AR9" s="64"/>
      <c r="AS9" s="282"/>
      <c r="AT9" s="422" t="s">
        <v>398</v>
      </c>
    </row>
    <row r="10" spans="1:46" s="280" customFormat="1" ht="15.75" customHeight="1">
      <c r="A10" s="67" t="s">
        <v>109</v>
      </c>
      <c r="B10" s="68"/>
      <c r="C10" s="69"/>
      <c r="D10" s="70" t="s">
        <v>38</v>
      </c>
      <c r="E10" s="71" t="s">
        <v>38</v>
      </c>
      <c r="F10" s="70" t="s">
        <v>38</v>
      </c>
      <c r="G10" s="387">
        <v>160</v>
      </c>
      <c r="H10" s="72">
        <v>24</v>
      </c>
      <c r="I10" s="73" t="s">
        <v>314</v>
      </c>
      <c r="J10" s="74">
        <v>24</v>
      </c>
      <c r="K10" s="73"/>
      <c r="L10" s="239" t="s">
        <v>275</v>
      </c>
      <c r="M10" s="76"/>
      <c r="N10" s="77"/>
      <c r="O10" s="78"/>
      <c r="P10" s="79"/>
      <c r="Q10" s="80"/>
      <c r="R10" s="81"/>
      <c r="S10" s="68"/>
      <c r="T10" s="283" t="s">
        <v>95</v>
      </c>
      <c r="U10" s="83"/>
      <c r="V10" s="84">
        <f>1/0.64</f>
        <v>1.5625</v>
      </c>
      <c r="W10" s="85">
        <f>1/1.98</f>
        <v>0.50505050505050508</v>
      </c>
      <c r="X10" s="80"/>
      <c r="Y10" s="86">
        <f>1/0.66</f>
        <v>1.5151515151515151</v>
      </c>
      <c r="Z10" s="85">
        <f>1/2.05</f>
        <v>0.48780487804878053</v>
      </c>
      <c r="AA10" s="80"/>
      <c r="AB10" s="86"/>
      <c r="AC10" s="85"/>
      <c r="AD10" s="87"/>
      <c r="AE10" s="68"/>
      <c r="AF10" s="88">
        <v>1.32</v>
      </c>
      <c r="AG10" s="89"/>
      <c r="AH10" s="90"/>
      <c r="AI10" s="88">
        <v>1.55</v>
      </c>
      <c r="AJ10" s="89"/>
      <c r="AK10" s="90"/>
      <c r="AL10" s="88"/>
      <c r="AM10" s="89"/>
      <c r="AN10" s="90"/>
      <c r="AO10" s="246"/>
      <c r="AP10" s="91"/>
      <c r="AQ10" s="73"/>
      <c r="AR10" s="92"/>
      <c r="AS10" s="279" t="s">
        <v>391</v>
      </c>
      <c r="AT10" s="423" t="s">
        <v>398</v>
      </c>
    </row>
    <row r="11" spans="1:46" s="280" customFormat="1" ht="15.75" customHeight="1">
      <c r="A11" s="157" t="s">
        <v>110</v>
      </c>
      <c r="B11" s="158"/>
      <c r="C11" s="159"/>
      <c r="D11" s="160" t="s">
        <v>38</v>
      </c>
      <c r="E11" s="161" t="s">
        <v>38</v>
      </c>
      <c r="F11" s="160" t="s">
        <v>38</v>
      </c>
      <c r="G11" s="386">
        <v>137.4</v>
      </c>
      <c r="H11" s="162">
        <v>21.5</v>
      </c>
      <c r="I11" s="163" t="s">
        <v>314</v>
      </c>
      <c r="J11" s="164">
        <v>21.5</v>
      </c>
      <c r="K11" s="163"/>
      <c r="L11" s="240" t="s">
        <v>275</v>
      </c>
      <c r="M11" s="166"/>
      <c r="N11" s="167"/>
      <c r="O11" s="168"/>
      <c r="P11" s="169"/>
      <c r="Q11" s="170"/>
      <c r="R11" s="171"/>
      <c r="S11" s="172" t="s">
        <v>7</v>
      </c>
      <c r="T11" s="276" t="s">
        <v>95</v>
      </c>
      <c r="U11" s="173" t="s">
        <v>43</v>
      </c>
      <c r="V11" s="174">
        <f>1/0.928</f>
        <v>1.0775862068965516</v>
      </c>
      <c r="W11" s="175">
        <f>1/2.441</f>
        <v>0.40966816878328555</v>
      </c>
      <c r="X11" s="176"/>
      <c r="Y11" s="177">
        <f>1/1.952</f>
        <v>0.51229508196721307</v>
      </c>
      <c r="Z11" s="175">
        <f>1/2.49</f>
        <v>0.40160642570281119</v>
      </c>
      <c r="AA11" s="176"/>
      <c r="AB11" s="177"/>
      <c r="AC11" s="175"/>
      <c r="AD11" s="178"/>
      <c r="AE11" s="172"/>
      <c r="AF11" s="179">
        <v>0.64</v>
      </c>
      <c r="AG11" s="277">
        <v>0.52</v>
      </c>
      <c r="AH11" s="278"/>
      <c r="AI11" s="179">
        <v>0.78</v>
      </c>
      <c r="AJ11" s="277">
        <v>0.54</v>
      </c>
      <c r="AK11" s="278"/>
      <c r="AL11" s="179"/>
      <c r="AM11" s="277"/>
      <c r="AN11" s="278"/>
      <c r="AO11" s="252"/>
      <c r="AP11" s="181"/>
      <c r="AQ11" s="182"/>
      <c r="AR11" s="112"/>
      <c r="AS11" s="285"/>
      <c r="AT11" s="421" t="s">
        <v>397</v>
      </c>
    </row>
    <row r="12" spans="1:46" ht="15.75" customHeight="1">
      <c r="A12" s="12"/>
      <c r="B12" s="13"/>
      <c r="C12" s="14"/>
      <c r="D12" s="424"/>
      <c r="E12" s="15"/>
      <c r="F12" s="424"/>
      <c r="G12" s="388"/>
      <c r="H12" s="391"/>
      <c r="J12" s="96"/>
      <c r="L12" s="237"/>
      <c r="M12" s="19"/>
      <c r="N12" s="97"/>
      <c r="O12" s="98"/>
      <c r="P12" s="22"/>
      <c r="Q12" s="21"/>
      <c r="R12" s="23"/>
      <c r="S12" s="115" t="s">
        <v>8</v>
      </c>
      <c r="T12" s="286" t="s">
        <v>95</v>
      </c>
      <c r="U12" s="117" t="s">
        <v>26</v>
      </c>
      <c r="V12" s="118">
        <f>1/0.903</f>
        <v>1.1074197120708749</v>
      </c>
      <c r="W12" s="119">
        <f>1/2.393</f>
        <v>0.41788549937317176</v>
      </c>
      <c r="X12" s="120"/>
      <c r="Y12" s="121">
        <f>1/1.123</f>
        <v>0.89047195013357083</v>
      </c>
      <c r="Z12" s="119">
        <f>1/2.417</f>
        <v>0.41373603640877121</v>
      </c>
      <c r="AA12" s="120"/>
      <c r="AB12" s="121"/>
      <c r="AC12" s="119"/>
      <c r="AD12" s="122"/>
      <c r="AE12" s="115"/>
      <c r="AF12" s="124">
        <v>0.64</v>
      </c>
      <c r="AG12" s="125"/>
      <c r="AH12" s="126"/>
      <c r="AI12" s="124">
        <v>1.03</v>
      </c>
      <c r="AJ12" s="125">
        <v>0.55000000000000004</v>
      </c>
      <c r="AK12" s="126"/>
      <c r="AL12" s="124"/>
      <c r="AM12" s="125"/>
      <c r="AN12" s="126"/>
      <c r="AO12" s="248"/>
      <c r="AP12" s="127"/>
      <c r="AQ12" s="128"/>
      <c r="AR12" s="137"/>
      <c r="AS12" s="287"/>
      <c r="AT12" s="425" t="s">
        <v>398</v>
      </c>
    </row>
    <row r="13" spans="1:46" ht="15.75" customHeight="1">
      <c r="A13" s="38"/>
      <c r="B13" s="39"/>
      <c r="C13" s="40"/>
      <c r="D13" s="41"/>
      <c r="E13" s="42"/>
      <c r="F13" s="41"/>
      <c r="G13" s="385"/>
      <c r="H13" s="43"/>
      <c r="I13" s="44"/>
      <c r="J13" s="45"/>
      <c r="K13" s="44"/>
      <c r="L13" s="238"/>
      <c r="M13" s="47"/>
      <c r="N13" s="48"/>
      <c r="O13" s="49"/>
      <c r="P13" s="50"/>
      <c r="Q13" s="51"/>
      <c r="R13" s="52"/>
      <c r="S13" s="115">
        <v>2</v>
      </c>
      <c r="T13" s="286" t="s">
        <v>83</v>
      </c>
      <c r="U13" s="117" t="s">
        <v>26</v>
      </c>
      <c r="V13" s="118">
        <f>1/0.934</f>
        <v>1.070663811563169</v>
      </c>
      <c r="W13" s="119"/>
      <c r="X13" s="120"/>
      <c r="Y13" s="121">
        <f>1/0.956</f>
        <v>1.0460251046025104</v>
      </c>
      <c r="Z13" s="119"/>
      <c r="AA13" s="120"/>
      <c r="AB13" s="121"/>
      <c r="AC13" s="119"/>
      <c r="AD13" s="122"/>
      <c r="AE13" s="115"/>
      <c r="AF13" s="124">
        <v>0.56999999999999995</v>
      </c>
      <c r="AG13" s="125"/>
      <c r="AH13" s="126"/>
      <c r="AI13" s="124">
        <v>0.76</v>
      </c>
      <c r="AJ13" s="125"/>
      <c r="AK13" s="126"/>
      <c r="AL13" s="124"/>
      <c r="AM13" s="125"/>
      <c r="AN13" s="126"/>
      <c r="AO13" s="248"/>
      <c r="AP13" s="127"/>
      <c r="AQ13" s="128"/>
      <c r="AR13" s="137"/>
      <c r="AS13" s="287"/>
      <c r="AT13" s="425" t="s">
        <v>397</v>
      </c>
    </row>
    <row r="14" spans="1:46" s="280" customFormat="1" ht="15.75" customHeight="1">
      <c r="A14" s="157" t="s">
        <v>111</v>
      </c>
      <c r="B14" s="158"/>
      <c r="C14" s="159"/>
      <c r="D14" s="160" t="s">
        <v>38</v>
      </c>
      <c r="E14" s="161" t="s">
        <v>38</v>
      </c>
      <c r="F14" s="160" t="s">
        <v>38</v>
      </c>
      <c r="G14" s="386">
        <v>137.4</v>
      </c>
      <c r="H14" s="162">
        <v>21.5</v>
      </c>
      <c r="I14" s="163" t="s">
        <v>314</v>
      </c>
      <c r="J14" s="164">
        <v>21.5</v>
      </c>
      <c r="K14" s="163"/>
      <c r="L14" s="240" t="s">
        <v>275</v>
      </c>
      <c r="M14" s="166"/>
      <c r="N14" s="167"/>
      <c r="O14" s="168"/>
      <c r="P14" s="169"/>
      <c r="Q14" s="170"/>
      <c r="R14" s="171"/>
      <c r="S14" s="172"/>
      <c r="T14" s="276" t="s">
        <v>95</v>
      </c>
      <c r="U14" s="173"/>
      <c r="V14" s="174">
        <f>1/0.93</f>
        <v>1.075268817204301</v>
      </c>
      <c r="W14" s="175">
        <f>1/2.44</f>
        <v>0.4098360655737705</v>
      </c>
      <c r="X14" s="176"/>
      <c r="Y14" s="177">
        <f>1/1.95</f>
        <v>0.51282051282051289</v>
      </c>
      <c r="Z14" s="175">
        <f>1/2.49</f>
        <v>0.40160642570281119</v>
      </c>
      <c r="AA14" s="176"/>
      <c r="AB14" s="177"/>
      <c r="AC14" s="175"/>
      <c r="AD14" s="178"/>
      <c r="AE14" s="172"/>
      <c r="AF14" s="179">
        <v>0.1</v>
      </c>
      <c r="AG14" s="277"/>
      <c r="AH14" s="278"/>
      <c r="AI14" s="179">
        <v>0.12</v>
      </c>
      <c r="AJ14" s="277"/>
      <c r="AK14" s="278"/>
      <c r="AL14" s="179"/>
      <c r="AM14" s="277"/>
      <c r="AN14" s="278"/>
      <c r="AO14" s="252"/>
      <c r="AP14" s="181"/>
      <c r="AQ14" s="182"/>
      <c r="AR14" s="112"/>
      <c r="AS14" s="279" t="s">
        <v>391</v>
      </c>
      <c r="AT14" s="421" t="s">
        <v>397</v>
      </c>
    </row>
    <row r="15" spans="1:46" s="280" customFormat="1" ht="15.75" customHeight="1">
      <c r="A15" s="38"/>
      <c r="B15" s="39"/>
      <c r="C15" s="40"/>
      <c r="D15" s="41"/>
      <c r="E15" s="42"/>
      <c r="F15" s="41"/>
      <c r="G15" s="385"/>
      <c r="H15" s="43"/>
      <c r="I15" s="44"/>
      <c r="J15" s="45"/>
      <c r="K15" s="44"/>
      <c r="L15" s="238"/>
      <c r="M15" s="47"/>
      <c r="N15" s="48"/>
      <c r="O15" s="49"/>
      <c r="P15" s="50"/>
      <c r="Q15" s="51"/>
      <c r="R15" s="52"/>
      <c r="S15" s="53"/>
      <c r="T15" s="281" t="s">
        <v>95</v>
      </c>
      <c r="U15" s="156"/>
      <c r="V15" s="151">
        <f>1/0.9</f>
        <v>1.1111111111111112</v>
      </c>
      <c r="W15" s="139">
        <f>1/2.39</f>
        <v>0.41841004184100417</v>
      </c>
      <c r="X15" s="140"/>
      <c r="Y15" s="141">
        <f>1/1.12</f>
        <v>0.89285714285714279</v>
      </c>
      <c r="Z15" s="139">
        <f>1/2.42</f>
        <v>0.41322314049586778</v>
      </c>
      <c r="AA15" s="140"/>
      <c r="AB15" s="141"/>
      <c r="AC15" s="139"/>
      <c r="AD15" s="142"/>
      <c r="AE15" s="53"/>
      <c r="AF15" s="59">
        <v>0.1</v>
      </c>
      <c r="AG15" s="60"/>
      <c r="AH15" s="61"/>
      <c r="AI15" s="59">
        <v>0.16</v>
      </c>
      <c r="AJ15" s="60"/>
      <c r="AK15" s="61"/>
      <c r="AL15" s="59"/>
      <c r="AM15" s="60"/>
      <c r="AN15" s="61"/>
      <c r="AO15" s="245"/>
      <c r="AP15" s="62"/>
      <c r="AQ15" s="63"/>
      <c r="AR15" s="64"/>
      <c r="AS15" s="282"/>
      <c r="AT15" s="422" t="s">
        <v>398</v>
      </c>
    </row>
    <row r="16" spans="1:46" s="280" customFormat="1" ht="15.75" customHeight="1">
      <c r="A16" s="67" t="s">
        <v>112</v>
      </c>
      <c r="B16" s="68"/>
      <c r="C16" s="69"/>
      <c r="D16" s="70" t="s">
        <v>38</v>
      </c>
      <c r="E16" s="71" t="s">
        <v>38</v>
      </c>
      <c r="F16" s="70" t="s">
        <v>38</v>
      </c>
      <c r="G16" s="387">
        <v>137</v>
      </c>
      <c r="H16" s="72">
        <v>20</v>
      </c>
      <c r="I16" s="73" t="s">
        <v>314</v>
      </c>
      <c r="J16" s="74">
        <v>20</v>
      </c>
      <c r="K16" s="73"/>
      <c r="L16" s="239" t="s">
        <v>275</v>
      </c>
      <c r="M16" s="76"/>
      <c r="N16" s="77"/>
      <c r="O16" s="78"/>
      <c r="P16" s="79"/>
      <c r="Q16" s="80"/>
      <c r="R16" s="81"/>
      <c r="S16" s="68"/>
      <c r="T16" s="283" t="s">
        <v>95</v>
      </c>
      <c r="U16" s="83"/>
      <c r="V16" s="84">
        <f>1/0.93</f>
        <v>1.075268817204301</v>
      </c>
      <c r="W16" s="85">
        <f>1/2.44</f>
        <v>0.4098360655737705</v>
      </c>
      <c r="X16" s="80"/>
      <c r="Y16" s="86">
        <f>1/0.95</f>
        <v>1.0526315789473684</v>
      </c>
      <c r="Z16" s="85">
        <f>1/2.49</f>
        <v>0.40160642570281119</v>
      </c>
      <c r="AA16" s="80"/>
      <c r="AB16" s="86">
        <f>1/3.32</f>
        <v>0.30120481927710846</v>
      </c>
      <c r="AC16" s="85"/>
      <c r="AD16" s="87"/>
      <c r="AE16" s="68"/>
      <c r="AF16" s="88">
        <v>0.56999999999999995</v>
      </c>
      <c r="AG16" s="89"/>
      <c r="AH16" s="90"/>
      <c r="AI16" s="88">
        <v>0.76</v>
      </c>
      <c r="AJ16" s="89"/>
      <c r="AK16" s="90"/>
      <c r="AL16" s="88"/>
      <c r="AM16" s="89"/>
      <c r="AN16" s="90"/>
      <c r="AO16" s="246"/>
      <c r="AP16" s="91"/>
      <c r="AQ16" s="73"/>
      <c r="AR16" s="92"/>
      <c r="AS16" s="279" t="s">
        <v>391</v>
      </c>
      <c r="AT16" s="423" t="s">
        <v>397</v>
      </c>
    </row>
    <row r="17" spans="1:46" s="280" customFormat="1" ht="15.75" customHeight="1">
      <c r="A17" s="157" t="s">
        <v>113</v>
      </c>
      <c r="B17" s="158"/>
      <c r="C17" s="159"/>
      <c r="D17" s="160" t="s">
        <v>38</v>
      </c>
      <c r="E17" s="161" t="s">
        <v>38</v>
      </c>
      <c r="F17" s="160" t="s">
        <v>38</v>
      </c>
      <c r="G17" s="386">
        <v>115</v>
      </c>
      <c r="H17" s="162">
        <v>17</v>
      </c>
      <c r="I17" s="163" t="s">
        <v>314</v>
      </c>
      <c r="J17" s="164">
        <v>17</v>
      </c>
      <c r="K17" s="163"/>
      <c r="L17" s="240" t="s">
        <v>275</v>
      </c>
      <c r="M17" s="166"/>
      <c r="N17" s="167"/>
      <c r="O17" s="168"/>
      <c r="P17" s="169"/>
      <c r="Q17" s="170"/>
      <c r="R17" s="171"/>
      <c r="S17" s="172"/>
      <c r="T17" s="276" t="s">
        <v>95</v>
      </c>
      <c r="U17" s="173"/>
      <c r="V17" s="174">
        <f>1/0.73</f>
        <v>1.3698630136986301</v>
      </c>
      <c r="W17" s="175">
        <f>1/2.05</f>
        <v>0.48780487804878053</v>
      </c>
      <c r="X17" s="176"/>
      <c r="Y17" s="177">
        <f>1/0.76</f>
        <v>1.3157894736842106</v>
      </c>
      <c r="Z17" s="175">
        <f>1/2.15</f>
        <v>0.46511627906976744</v>
      </c>
      <c r="AA17" s="176"/>
      <c r="AB17" s="177"/>
      <c r="AC17" s="175"/>
      <c r="AD17" s="178"/>
      <c r="AE17" s="172"/>
      <c r="AF17" s="179">
        <v>0.5</v>
      </c>
      <c r="AG17" s="277"/>
      <c r="AH17" s="278"/>
      <c r="AI17" s="179">
        <v>0.5</v>
      </c>
      <c r="AJ17" s="277"/>
      <c r="AK17" s="278"/>
      <c r="AL17" s="179"/>
      <c r="AM17" s="277"/>
      <c r="AN17" s="278"/>
      <c r="AO17" s="252"/>
      <c r="AP17" s="181"/>
      <c r="AQ17" s="182"/>
      <c r="AR17" s="112"/>
      <c r="AS17" s="279" t="s">
        <v>391</v>
      </c>
      <c r="AT17" s="421" t="s">
        <v>397</v>
      </c>
    </row>
    <row r="18" spans="1:46" s="280" customFormat="1" ht="15.75" customHeight="1">
      <c r="A18" s="38"/>
      <c r="B18" s="39"/>
      <c r="C18" s="40"/>
      <c r="D18" s="41"/>
      <c r="E18" s="42"/>
      <c r="F18" s="41"/>
      <c r="G18" s="385"/>
      <c r="H18" s="43"/>
      <c r="I18" s="44"/>
      <c r="J18" s="45"/>
      <c r="K18" s="44"/>
      <c r="L18" s="238"/>
      <c r="M18" s="47"/>
      <c r="N18" s="48"/>
      <c r="O18" s="49"/>
      <c r="P18" s="50"/>
      <c r="Q18" s="51"/>
      <c r="R18" s="52"/>
      <c r="S18" s="53"/>
      <c r="T18" s="281" t="s">
        <v>95</v>
      </c>
      <c r="U18" s="156"/>
      <c r="V18" s="151">
        <f>1/0.72</f>
        <v>1.3888888888888888</v>
      </c>
      <c r="W18" s="139">
        <f>1/1.9</f>
        <v>0.52631578947368418</v>
      </c>
      <c r="X18" s="140"/>
      <c r="Y18" s="141">
        <f>1/0.69</f>
        <v>1.4492753623188408</v>
      </c>
      <c r="Z18" s="139">
        <f>1/2.13</f>
        <v>0.46948356807511737</v>
      </c>
      <c r="AA18" s="140"/>
      <c r="AB18" s="141"/>
      <c r="AC18" s="139"/>
      <c r="AD18" s="142"/>
      <c r="AE18" s="53"/>
      <c r="AF18" s="59">
        <v>3.7</v>
      </c>
      <c r="AG18" s="60"/>
      <c r="AH18" s="61"/>
      <c r="AI18" s="59">
        <v>1.7</v>
      </c>
      <c r="AJ18" s="60"/>
      <c r="AK18" s="61"/>
      <c r="AL18" s="59"/>
      <c r="AM18" s="60"/>
      <c r="AN18" s="61"/>
      <c r="AO18" s="245"/>
      <c r="AP18" s="62"/>
      <c r="AQ18" s="63"/>
      <c r="AR18" s="64"/>
      <c r="AS18" s="282"/>
      <c r="AT18" s="422" t="s">
        <v>398</v>
      </c>
    </row>
    <row r="19" spans="1:46" s="280" customFormat="1" ht="15.75" customHeight="1">
      <c r="A19" s="67" t="s">
        <v>114</v>
      </c>
      <c r="B19" s="68"/>
      <c r="C19" s="69"/>
      <c r="D19" s="70" t="s">
        <v>38</v>
      </c>
      <c r="E19" s="71" t="s">
        <v>38</v>
      </c>
      <c r="F19" s="70" t="s">
        <v>38</v>
      </c>
      <c r="G19" s="387">
        <v>110</v>
      </c>
      <c r="H19" s="72">
        <v>20.8</v>
      </c>
      <c r="I19" s="73" t="s">
        <v>314</v>
      </c>
      <c r="J19" s="74">
        <v>20.8</v>
      </c>
      <c r="K19" s="73"/>
      <c r="L19" s="239" t="s">
        <v>275</v>
      </c>
      <c r="M19" s="76"/>
      <c r="N19" s="77"/>
      <c r="O19" s="78"/>
      <c r="P19" s="79"/>
      <c r="Q19" s="80"/>
      <c r="R19" s="81"/>
      <c r="S19" s="68"/>
      <c r="T19" s="283" t="s">
        <v>97</v>
      </c>
      <c r="U19" s="83"/>
      <c r="V19" s="84">
        <f>1/1.11</f>
        <v>0.9009009009009008</v>
      </c>
      <c r="W19" s="85">
        <f>1/2.95</f>
        <v>0.33898305084745761</v>
      </c>
      <c r="X19" s="80"/>
      <c r="Y19" s="86">
        <f>1/1.11</f>
        <v>0.9009009009009008</v>
      </c>
      <c r="Z19" s="85">
        <f>1/3</f>
        <v>0.33333333333333331</v>
      </c>
      <c r="AA19" s="80"/>
      <c r="AB19" s="86">
        <f>1/2.88</f>
        <v>0.34722222222222221</v>
      </c>
      <c r="AC19" s="85"/>
      <c r="AD19" s="87"/>
      <c r="AE19" s="68"/>
      <c r="AF19" s="88">
        <v>0.41</v>
      </c>
      <c r="AG19" s="89"/>
      <c r="AH19" s="90"/>
      <c r="AI19" s="88">
        <v>0.35</v>
      </c>
      <c r="AJ19" s="89"/>
      <c r="AK19" s="90"/>
      <c r="AL19" s="88"/>
      <c r="AM19" s="89"/>
      <c r="AN19" s="90"/>
      <c r="AO19" s="246"/>
      <c r="AP19" s="91"/>
      <c r="AQ19" s="73"/>
      <c r="AR19" s="92"/>
      <c r="AS19" s="279" t="s">
        <v>391</v>
      </c>
      <c r="AT19" s="423" t="s">
        <v>397</v>
      </c>
    </row>
    <row r="20" spans="1:46" s="280" customFormat="1" ht="15.75" customHeight="1">
      <c r="A20" s="67" t="s">
        <v>115</v>
      </c>
      <c r="B20" s="68"/>
      <c r="C20" s="69"/>
      <c r="D20" s="70" t="s">
        <v>38</v>
      </c>
      <c r="E20" s="71" t="s">
        <v>38</v>
      </c>
      <c r="F20" s="70" t="s">
        <v>38</v>
      </c>
      <c r="G20" s="387">
        <v>106.5</v>
      </c>
      <c r="H20" s="72">
        <v>20.5</v>
      </c>
      <c r="I20" s="73" t="s">
        <v>314</v>
      </c>
      <c r="J20" s="74">
        <v>20.5</v>
      </c>
      <c r="K20" s="73"/>
      <c r="L20" s="239" t="s">
        <v>275</v>
      </c>
      <c r="M20" s="76"/>
      <c r="N20" s="77"/>
      <c r="O20" s="78"/>
      <c r="P20" s="79"/>
      <c r="Q20" s="80"/>
      <c r="R20" s="81"/>
      <c r="S20" s="68"/>
      <c r="T20" s="283" t="s">
        <v>95</v>
      </c>
      <c r="U20" s="83"/>
      <c r="V20" s="84">
        <f>1/1.3</f>
        <v>0.76923076923076916</v>
      </c>
      <c r="W20" s="85">
        <f>1/3.31</f>
        <v>0.30211480362537763</v>
      </c>
      <c r="X20" s="80"/>
      <c r="Y20" s="86">
        <f>1/1.19</f>
        <v>0.84033613445378152</v>
      </c>
      <c r="Z20" s="85">
        <f>1/2.63</f>
        <v>0.38022813688212931</v>
      </c>
      <c r="AA20" s="80"/>
      <c r="AB20" s="86"/>
      <c r="AC20" s="85"/>
      <c r="AD20" s="87"/>
      <c r="AE20" s="68"/>
      <c r="AF20" s="88">
        <v>0.3</v>
      </c>
      <c r="AG20" s="89"/>
      <c r="AH20" s="90"/>
      <c r="AI20" s="88"/>
      <c r="AJ20" s="89"/>
      <c r="AK20" s="90"/>
      <c r="AL20" s="88"/>
      <c r="AM20" s="89"/>
      <c r="AN20" s="90"/>
      <c r="AO20" s="246"/>
      <c r="AP20" s="91"/>
      <c r="AQ20" s="73"/>
      <c r="AR20" s="92"/>
      <c r="AS20" s="279" t="s">
        <v>391</v>
      </c>
      <c r="AT20" s="423" t="s">
        <v>398</v>
      </c>
    </row>
    <row r="21" spans="1:46" ht="15.75" customHeight="1">
      <c r="A21" s="67" t="s">
        <v>116</v>
      </c>
      <c r="B21" s="68" t="s">
        <v>71</v>
      </c>
      <c r="C21" s="69">
        <v>1991</v>
      </c>
      <c r="D21" s="218" t="s">
        <v>12</v>
      </c>
      <c r="E21" s="218" t="s">
        <v>12</v>
      </c>
      <c r="F21" s="219" t="s">
        <v>12</v>
      </c>
      <c r="G21" s="387">
        <v>100</v>
      </c>
      <c r="H21" s="72">
        <v>11</v>
      </c>
      <c r="I21" s="73" t="s">
        <v>16</v>
      </c>
      <c r="J21" s="74"/>
      <c r="K21" s="73"/>
      <c r="L21" s="239" t="s">
        <v>277</v>
      </c>
      <c r="M21" s="76" t="s">
        <v>81</v>
      </c>
      <c r="N21" s="152"/>
      <c r="O21" s="78">
        <v>29</v>
      </c>
      <c r="P21" s="79">
        <v>1.3</v>
      </c>
      <c r="Q21" s="80">
        <v>1.3</v>
      </c>
      <c r="R21" s="81"/>
      <c r="S21" s="68" t="s">
        <v>12</v>
      </c>
      <c r="T21" s="82" t="s">
        <v>85</v>
      </c>
      <c r="U21" s="83" t="s">
        <v>25</v>
      </c>
      <c r="V21" s="84">
        <v>1.25</v>
      </c>
      <c r="W21" s="85">
        <v>0.33</v>
      </c>
      <c r="X21" s="80" t="s">
        <v>12</v>
      </c>
      <c r="Y21" s="86">
        <v>1.25</v>
      </c>
      <c r="Z21" s="85">
        <v>0.33</v>
      </c>
      <c r="AA21" s="80" t="s">
        <v>12</v>
      </c>
      <c r="AB21" s="86" t="s">
        <v>12</v>
      </c>
      <c r="AC21" s="85" t="s">
        <v>12</v>
      </c>
      <c r="AD21" s="87" t="s">
        <v>12</v>
      </c>
      <c r="AE21" s="68" t="s">
        <v>91</v>
      </c>
      <c r="AF21" s="88">
        <v>0.55000000000000004</v>
      </c>
      <c r="AG21" s="89" t="s">
        <v>12</v>
      </c>
      <c r="AH21" s="90" t="s">
        <v>12</v>
      </c>
      <c r="AI21" s="88">
        <v>0.65</v>
      </c>
      <c r="AJ21" s="89" t="s">
        <v>12</v>
      </c>
      <c r="AK21" s="90" t="s">
        <v>12</v>
      </c>
      <c r="AL21" s="88" t="s">
        <v>12</v>
      </c>
      <c r="AM21" s="89" t="s">
        <v>12</v>
      </c>
      <c r="AN21" s="90" t="s">
        <v>12</v>
      </c>
      <c r="AO21" s="249" t="s">
        <v>289</v>
      </c>
      <c r="AP21" s="91">
        <v>12.9</v>
      </c>
      <c r="AQ21" s="73"/>
      <c r="AR21" s="92">
        <v>13.2</v>
      </c>
      <c r="AS21" s="288"/>
      <c r="AT21" s="423"/>
    </row>
    <row r="22" spans="1:46" s="280" customFormat="1" ht="15.75" customHeight="1">
      <c r="A22" s="67" t="s">
        <v>117</v>
      </c>
      <c r="B22" s="68"/>
      <c r="C22" s="69"/>
      <c r="D22" s="70" t="s">
        <v>38</v>
      </c>
      <c r="E22" s="71" t="s">
        <v>38</v>
      </c>
      <c r="F22" s="70" t="s">
        <v>38</v>
      </c>
      <c r="G22" s="387">
        <v>93</v>
      </c>
      <c r="H22" s="72">
        <v>17</v>
      </c>
      <c r="I22" s="73" t="s">
        <v>314</v>
      </c>
      <c r="J22" s="74">
        <v>17</v>
      </c>
      <c r="K22" s="73"/>
      <c r="L22" s="239" t="s">
        <v>275</v>
      </c>
      <c r="M22" s="76"/>
      <c r="N22" s="77"/>
      <c r="O22" s="78"/>
      <c r="P22" s="79"/>
      <c r="Q22" s="80"/>
      <c r="R22" s="81"/>
      <c r="S22" s="68"/>
      <c r="T22" s="283"/>
      <c r="U22" s="83"/>
      <c r="V22" s="84">
        <f>1/1.47</f>
        <v>0.68027210884353739</v>
      </c>
      <c r="W22" s="85"/>
      <c r="X22" s="80"/>
      <c r="Y22" s="86">
        <f>1/1.54</f>
        <v>0.64935064935064934</v>
      </c>
      <c r="Z22" s="85"/>
      <c r="AA22" s="80"/>
      <c r="AB22" s="86"/>
      <c r="AC22" s="85"/>
      <c r="AD22" s="87"/>
      <c r="AE22" s="68"/>
      <c r="AF22" s="88">
        <v>0.06</v>
      </c>
      <c r="AG22" s="89"/>
      <c r="AH22" s="90"/>
      <c r="AI22" s="88">
        <v>0.08</v>
      </c>
      <c r="AJ22" s="89"/>
      <c r="AK22" s="90"/>
      <c r="AL22" s="88"/>
      <c r="AM22" s="89"/>
      <c r="AN22" s="90"/>
      <c r="AO22" s="246"/>
      <c r="AP22" s="91"/>
      <c r="AQ22" s="73"/>
      <c r="AR22" s="92"/>
      <c r="AS22" s="284" t="s">
        <v>392</v>
      </c>
      <c r="AT22" s="423" t="s">
        <v>398</v>
      </c>
    </row>
    <row r="23" spans="1:46" ht="15.75" customHeight="1">
      <c r="A23" s="157" t="s">
        <v>118</v>
      </c>
      <c r="B23" s="158"/>
      <c r="C23" s="159"/>
      <c r="D23" s="160" t="s">
        <v>45</v>
      </c>
      <c r="E23" s="161" t="s">
        <v>45</v>
      </c>
      <c r="F23" s="160" t="s">
        <v>45</v>
      </c>
      <c r="G23" s="386">
        <v>87.4</v>
      </c>
      <c r="H23" s="162">
        <v>17.8</v>
      </c>
      <c r="I23" s="163" t="s">
        <v>314</v>
      </c>
      <c r="J23" s="164">
        <v>17.8</v>
      </c>
      <c r="K23" s="163"/>
      <c r="L23" s="240" t="s">
        <v>275</v>
      </c>
      <c r="M23" s="166"/>
      <c r="N23" s="167"/>
      <c r="O23" s="168"/>
      <c r="P23" s="169"/>
      <c r="Q23" s="170"/>
      <c r="R23" s="171"/>
      <c r="S23" s="172" t="s">
        <v>7</v>
      </c>
      <c r="T23" s="276" t="s">
        <v>95</v>
      </c>
      <c r="U23" s="173" t="s">
        <v>43</v>
      </c>
      <c r="V23" s="174">
        <f>1/1.05</f>
        <v>0.95238095238095233</v>
      </c>
      <c r="W23" s="175">
        <f>1/2.279</f>
        <v>0.43878894251864853</v>
      </c>
      <c r="X23" s="176">
        <f>1/5.439</f>
        <v>0.18385732671446958</v>
      </c>
      <c r="Y23" s="177">
        <f>1/1.074</f>
        <v>0.93109869646182486</v>
      </c>
      <c r="Z23" s="175">
        <f>1/3.149</f>
        <v>0.31756113051762463</v>
      </c>
      <c r="AA23" s="176">
        <f>1/5.835</f>
        <v>0.17137960582690659</v>
      </c>
      <c r="AB23" s="177">
        <f>1/2.026</f>
        <v>0.49358341559723601</v>
      </c>
      <c r="AC23" s="175"/>
      <c r="AD23" s="178"/>
      <c r="AE23" s="172"/>
      <c r="AF23" s="179">
        <v>0.92</v>
      </c>
      <c r="AG23" s="277">
        <v>0.54</v>
      </c>
      <c r="AH23" s="278">
        <v>0.4</v>
      </c>
      <c r="AI23" s="179">
        <v>0.74</v>
      </c>
      <c r="AJ23" s="277">
        <v>0.51</v>
      </c>
      <c r="AK23" s="278">
        <v>0.32</v>
      </c>
      <c r="AL23" s="179">
        <v>0.52</v>
      </c>
      <c r="AM23" s="277"/>
      <c r="AN23" s="278"/>
      <c r="AO23" s="252"/>
      <c r="AP23" s="181"/>
      <c r="AQ23" s="182"/>
      <c r="AR23" s="112"/>
      <c r="AS23" s="285"/>
      <c r="AT23" s="421" t="s">
        <v>397</v>
      </c>
    </row>
    <row r="24" spans="1:46" s="280" customFormat="1" ht="15.75" customHeight="1">
      <c r="A24" s="38"/>
      <c r="B24" s="39"/>
      <c r="C24" s="40"/>
      <c r="D24" s="41"/>
      <c r="E24" s="42"/>
      <c r="F24" s="41"/>
      <c r="G24" s="385"/>
      <c r="H24" s="43"/>
      <c r="I24" s="44"/>
      <c r="J24" s="45"/>
      <c r="K24" s="44"/>
      <c r="L24" s="238"/>
      <c r="M24" s="47"/>
      <c r="N24" s="48"/>
      <c r="O24" s="49"/>
      <c r="P24" s="50"/>
      <c r="Q24" s="51"/>
      <c r="R24" s="52"/>
      <c r="S24" s="115" t="s">
        <v>8</v>
      </c>
      <c r="T24" s="286" t="s">
        <v>95</v>
      </c>
      <c r="U24" s="117" t="s">
        <v>43</v>
      </c>
      <c r="V24" s="118">
        <f>1/1.05</f>
        <v>0.95238095238095233</v>
      </c>
      <c r="W24" s="119">
        <f>1/2.734</f>
        <v>0.365764447695684</v>
      </c>
      <c r="X24" s="120"/>
      <c r="Y24" s="121">
        <f>1/1.135</f>
        <v>0.88105726872246692</v>
      </c>
      <c r="Z24" s="119">
        <f>1/3.154</f>
        <v>0.31705770450221943</v>
      </c>
      <c r="AA24" s="120">
        <f>1/6.299</f>
        <v>0.15875535799333226</v>
      </c>
      <c r="AB24" s="121"/>
      <c r="AC24" s="119"/>
      <c r="AD24" s="122"/>
      <c r="AE24" s="115"/>
      <c r="AF24" s="124">
        <v>2.82</v>
      </c>
      <c r="AG24" s="125">
        <v>0.47</v>
      </c>
      <c r="AH24" s="126"/>
      <c r="AI24" s="124">
        <v>1.44</v>
      </c>
      <c r="AJ24" s="125">
        <v>1.1299999999999999</v>
      </c>
      <c r="AK24" s="126">
        <v>0.33</v>
      </c>
      <c r="AL24" s="124"/>
      <c r="AM24" s="125"/>
      <c r="AN24" s="126"/>
      <c r="AO24" s="248"/>
      <c r="AP24" s="127"/>
      <c r="AQ24" s="128"/>
      <c r="AR24" s="137"/>
      <c r="AS24" s="287"/>
      <c r="AT24" s="425" t="s">
        <v>398</v>
      </c>
    </row>
    <row r="25" spans="1:46" s="280" customFormat="1" ht="15.75" customHeight="1">
      <c r="A25" s="157" t="s">
        <v>119</v>
      </c>
      <c r="B25" s="158"/>
      <c r="C25" s="159"/>
      <c r="D25" s="160" t="s">
        <v>38</v>
      </c>
      <c r="E25" s="161" t="s">
        <v>38</v>
      </c>
      <c r="F25" s="160" t="s">
        <v>38</v>
      </c>
      <c r="G25" s="386">
        <v>87.4</v>
      </c>
      <c r="H25" s="162">
        <v>17.8</v>
      </c>
      <c r="I25" s="163" t="s">
        <v>314</v>
      </c>
      <c r="J25" s="164">
        <v>17.8</v>
      </c>
      <c r="K25" s="163"/>
      <c r="L25" s="240" t="s">
        <v>275</v>
      </c>
      <c r="M25" s="166"/>
      <c r="N25" s="167"/>
      <c r="O25" s="168"/>
      <c r="P25" s="169"/>
      <c r="Q25" s="170"/>
      <c r="R25" s="171"/>
      <c r="S25" s="172"/>
      <c r="T25" s="276" t="s">
        <v>95</v>
      </c>
      <c r="U25" s="173"/>
      <c r="V25" s="174">
        <f>1/1.05</f>
        <v>0.95238095238095233</v>
      </c>
      <c r="W25" s="175">
        <f>1/2.28</f>
        <v>0.43859649122807021</v>
      </c>
      <c r="X25" s="176"/>
      <c r="Y25" s="177">
        <f>1/1.07</f>
        <v>0.93457943925233644</v>
      </c>
      <c r="Z25" s="175">
        <f>1/3.15</f>
        <v>0.31746031746031744</v>
      </c>
      <c r="AA25" s="176"/>
      <c r="AB25" s="177">
        <f>1/2.1</f>
        <v>0.47619047619047616</v>
      </c>
      <c r="AC25" s="175"/>
      <c r="AD25" s="178"/>
      <c r="AE25" s="172"/>
      <c r="AF25" s="179">
        <v>0.15</v>
      </c>
      <c r="AG25" s="277"/>
      <c r="AH25" s="278"/>
      <c r="AI25" s="179">
        <v>0.12</v>
      </c>
      <c r="AJ25" s="277"/>
      <c r="AK25" s="278"/>
      <c r="AL25" s="179"/>
      <c r="AM25" s="277"/>
      <c r="AN25" s="278"/>
      <c r="AO25" s="252"/>
      <c r="AP25" s="181"/>
      <c r="AQ25" s="182"/>
      <c r="AR25" s="112"/>
      <c r="AS25" s="279" t="s">
        <v>391</v>
      </c>
      <c r="AT25" s="421" t="s">
        <v>397</v>
      </c>
    </row>
    <row r="26" spans="1:46" s="280" customFormat="1" ht="15.75" customHeight="1">
      <c r="A26" s="38"/>
      <c r="B26" s="39"/>
      <c r="C26" s="40"/>
      <c r="D26" s="41"/>
      <c r="E26" s="42"/>
      <c r="F26" s="41"/>
      <c r="G26" s="385"/>
      <c r="H26" s="43"/>
      <c r="I26" s="44"/>
      <c r="J26" s="45"/>
      <c r="K26" s="44"/>
      <c r="L26" s="238"/>
      <c r="M26" s="47"/>
      <c r="N26" s="48"/>
      <c r="O26" s="49"/>
      <c r="P26" s="50"/>
      <c r="Q26" s="51"/>
      <c r="R26" s="52"/>
      <c r="S26" s="53"/>
      <c r="T26" s="281" t="s">
        <v>95</v>
      </c>
      <c r="U26" s="156"/>
      <c r="V26" s="151">
        <f>1/1.05</f>
        <v>0.95238095238095233</v>
      </c>
      <c r="W26" s="139">
        <f>1/2.73</f>
        <v>0.36630036630036628</v>
      </c>
      <c r="X26" s="140"/>
      <c r="Y26" s="141">
        <f>1/1.14</f>
        <v>0.87719298245614041</v>
      </c>
      <c r="Z26" s="139">
        <f>1/3.17</f>
        <v>0.31545741324921134</v>
      </c>
      <c r="AA26" s="140"/>
      <c r="AB26" s="141"/>
      <c r="AC26" s="139"/>
      <c r="AD26" s="142"/>
      <c r="AE26" s="53"/>
      <c r="AF26" s="59">
        <v>0.45</v>
      </c>
      <c r="AG26" s="60"/>
      <c r="AH26" s="61"/>
      <c r="AI26" s="59">
        <v>0.23</v>
      </c>
      <c r="AJ26" s="60"/>
      <c r="AK26" s="61"/>
      <c r="AL26" s="59"/>
      <c r="AM26" s="60"/>
      <c r="AN26" s="61"/>
      <c r="AO26" s="245"/>
      <c r="AP26" s="62"/>
      <c r="AQ26" s="63"/>
      <c r="AR26" s="64"/>
      <c r="AS26" s="282"/>
      <c r="AT26" s="422" t="s">
        <v>398</v>
      </c>
    </row>
    <row r="27" spans="1:46" s="280" customFormat="1" ht="15.75" customHeight="1">
      <c r="A27" s="67" t="s">
        <v>120</v>
      </c>
      <c r="B27" s="68"/>
      <c r="C27" s="69"/>
      <c r="D27" s="70" t="s">
        <v>38</v>
      </c>
      <c r="E27" s="71" t="s">
        <v>38</v>
      </c>
      <c r="F27" s="70" t="s">
        <v>38</v>
      </c>
      <c r="G27" s="387">
        <v>87.1</v>
      </c>
      <c r="H27" s="72">
        <v>27</v>
      </c>
      <c r="I27" s="73" t="s">
        <v>314</v>
      </c>
      <c r="J27" s="74">
        <v>27</v>
      </c>
      <c r="K27" s="73"/>
      <c r="L27" s="239" t="s">
        <v>275</v>
      </c>
      <c r="M27" s="76"/>
      <c r="N27" s="77"/>
      <c r="O27" s="78"/>
      <c r="P27" s="79"/>
      <c r="Q27" s="80"/>
      <c r="R27" s="81"/>
      <c r="S27" s="68"/>
      <c r="T27" s="283"/>
      <c r="U27" s="83"/>
      <c r="V27" s="84">
        <f>1/1.54</f>
        <v>0.64935064935064934</v>
      </c>
      <c r="W27" s="85"/>
      <c r="X27" s="80"/>
      <c r="Y27" s="86">
        <f>1/1.97</f>
        <v>0.50761421319796951</v>
      </c>
      <c r="Z27" s="85"/>
      <c r="AA27" s="80"/>
      <c r="AB27" s="86"/>
      <c r="AC27" s="85"/>
      <c r="AD27" s="87"/>
      <c r="AE27" s="68"/>
      <c r="AF27" s="88"/>
      <c r="AG27" s="89"/>
      <c r="AH27" s="90"/>
      <c r="AI27" s="88">
        <v>0.05</v>
      </c>
      <c r="AJ27" s="89"/>
      <c r="AK27" s="90"/>
      <c r="AL27" s="88"/>
      <c r="AM27" s="89"/>
      <c r="AN27" s="90"/>
      <c r="AO27" s="246"/>
      <c r="AP27" s="91"/>
      <c r="AQ27" s="73"/>
      <c r="AR27" s="92"/>
      <c r="AS27" s="284" t="s">
        <v>392</v>
      </c>
      <c r="AT27" s="423" t="s">
        <v>398</v>
      </c>
    </row>
    <row r="28" spans="1:46" s="280" customFormat="1" ht="15.75" customHeight="1">
      <c r="A28" s="67" t="s">
        <v>121</v>
      </c>
      <c r="B28" s="68"/>
      <c r="C28" s="69"/>
      <c r="D28" s="70" t="s">
        <v>38</v>
      </c>
      <c r="E28" s="71" t="s">
        <v>38</v>
      </c>
      <c r="F28" s="70" t="s">
        <v>38</v>
      </c>
      <c r="G28" s="387">
        <v>87</v>
      </c>
      <c r="H28" s="72">
        <v>27</v>
      </c>
      <c r="I28" s="73" t="s">
        <v>314</v>
      </c>
      <c r="J28" s="74">
        <v>27</v>
      </c>
      <c r="K28" s="73"/>
      <c r="L28" s="239" t="s">
        <v>275</v>
      </c>
      <c r="M28" s="76"/>
      <c r="N28" s="77"/>
      <c r="O28" s="78"/>
      <c r="P28" s="79"/>
      <c r="Q28" s="80"/>
      <c r="R28" s="81"/>
      <c r="S28" s="68"/>
      <c r="T28" s="283"/>
      <c r="U28" s="83" t="s">
        <v>40</v>
      </c>
      <c r="V28" s="84">
        <v>0.68</v>
      </c>
      <c r="W28" s="85"/>
      <c r="X28" s="80"/>
      <c r="Y28" s="86">
        <v>0.65</v>
      </c>
      <c r="Z28" s="85"/>
      <c r="AA28" s="80"/>
      <c r="AB28" s="86"/>
      <c r="AC28" s="85"/>
      <c r="AD28" s="87"/>
      <c r="AE28" s="68" t="s">
        <v>92</v>
      </c>
      <c r="AF28" s="88">
        <v>0.6</v>
      </c>
      <c r="AG28" s="89"/>
      <c r="AH28" s="90"/>
      <c r="AI28" s="88"/>
      <c r="AJ28" s="89"/>
      <c r="AK28" s="90"/>
      <c r="AL28" s="88"/>
      <c r="AM28" s="89"/>
      <c r="AN28" s="90"/>
      <c r="AO28" s="246"/>
      <c r="AP28" s="91"/>
      <c r="AQ28" s="73"/>
      <c r="AR28" s="92"/>
      <c r="AS28" s="284" t="s">
        <v>392</v>
      </c>
      <c r="AT28" s="423" t="s">
        <v>398</v>
      </c>
    </row>
    <row r="29" spans="1:46" s="280" customFormat="1" ht="15.75" customHeight="1">
      <c r="A29" s="67" t="s">
        <v>122</v>
      </c>
      <c r="B29" s="68"/>
      <c r="C29" s="69"/>
      <c r="D29" s="70" t="s">
        <v>38</v>
      </c>
      <c r="E29" s="71" t="s">
        <v>38</v>
      </c>
      <c r="F29" s="70" t="s">
        <v>38</v>
      </c>
      <c r="G29" s="387">
        <v>87</v>
      </c>
      <c r="H29" s="72">
        <v>27</v>
      </c>
      <c r="I29" s="73" t="s">
        <v>314</v>
      </c>
      <c r="J29" s="74">
        <v>27</v>
      </c>
      <c r="K29" s="73"/>
      <c r="L29" s="239" t="s">
        <v>275</v>
      </c>
      <c r="M29" s="76"/>
      <c r="N29" s="77"/>
      <c r="O29" s="78"/>
      <c r="P29" s="79"/>
      <c r="Q29" s="80"/>
      <c r="R29" s="81"/>
      <c r="S29" s="68"/>
      <c r="T29" s="283"/>
      <c r="U29" s="83" t="s">
        <v>40</v>
      </c>
      <c r="V29" s="84">
        <v>0.65</v>
      </c>
      <c r="W29" s="85"/>
      <c r="X29" s="80"/>
      <c r="Y29" s="86">
        <v>0.6</v>
      </c>
      <c r="Z29" s="85"/>
      <c r="AA29" s="80"/>
      <c r="AB29" s="86"/>
      <c r="AC29" s="85"/>
      <c r="AD29" s="87"/>
      <c r="AE29" s="68" t="s">
        <v>92</v>
      </c>
      <c r="AF29" s="88">
        <v>0.6</v>
      </c>
      <c r="AG29" s="89"/>
      <c r="AH29" s="90"/>
      <c r="AI29" s="88"/>
      <c r="AJ29" s="89"/>
      <c r="AK29" s="90"/>
      <c r="AL29" s="88"/>
      <c r="AM29" s="89"/>
      <c r="AN29" s="90"/>
      <c r="AO29" s="246"/>
      <c r="AP29" s="91"/>
      <c r="AQ29" s="73"/>
      <c r="AR29" s="92"/>
      <c r="AS29" s="284" t="s">
        <v>392</v>
      </c>
      <c r="AT29" s="423" t="s">
        <v>398</v>
      </c>
    </row>
    <row r="30" spans="1:46" s="280" customFormat="1" ht="15.75" customHeight="1">
      <c r="A30" s="157" t="s">
        <v>123</v>
      </c>
      <c r="B30" s="158"/>
      <c r="C30" s="159"/>
      <c r="D30" s="160" t="s">
        <v>38</v>
      </c>
      <c r="E30" s="161" t="s">
        <v>38</v>
      </c>
      <c r="F30" s="160" t="s">
        <v>38</v>
      </c>
      <c r="G30" s="386">
        <v>85</v>
      </c>
      <c r="H30" s="162">
        <v>17.5</v>
      </c>
      <c r="I30" s="163" t="s">
        <v>314</v>
      </c>
      <c r="J30" s="164">
        <v>17.5</v>
      </c>
      <c r="K30" s="163"/>
      <c r="L30" s="240" t="s">
        <v>275</v>
      </c>
      <c r="M30" s="166"/>
      <c r="N30" s="167"/>
      <c r="O30" s="168"/>
      <c r="P30" s="169"/>
      <c r="Q30" s="170"/>
      <c r="R30" s="171"/>
      <c r="S30" s="172"/>
      <c r="T30" s="276" t="s">
        <v>95</v>
      </c>
      <c r="U30" s="173"/>
      <c r="V30" s="174">
        <f>1/1.05</f>
        <v>0.95238095238095233</v>
      </c>
      <c r="W30" s="175">
        <f>1/2.97</f>
        <v>0.33670033670033667</v>
      </c>
      <c r="X30" s="176"/>
      <c r="Y30" s="177">
        <f>1/1.07</f>
        <v>0.93457943925233644</v>
      </c>
      <c r="Z30" s="175">
        <f>1/3.17</f>
        <v>0.31545741324921134</v>
      </c>
      <c r="AA30" s="176"/>
      <c r="AB30" s="177"/>
      <c r="AC30" s="175"/>
      <c r="AD30" s="178"/>
      <c r="AE30" s="172"/>
      <c r="AF30" s="179">
        <v>0.5</v>
      </c>
      <c r="AG30" s="277"/>
      <c r="AH30" s="278"/>
      <c r="AI30" s="179">
        <v>0.5</v>
      </c>
      <c r="AJ30" s="277"/>
      <c r="AK30" s="278"/>
      <c r="AL30" s="179"/>
      <c r="AM30" s="277"/>
      <c r="AN30" s="278"/>
      <c r="AO30" s="252"/>
      <c r="AP30" s="181"/>
      <c r="AQ30" s="182"/>
      <c r="AR30" s="112"/>
      <c r="AS30" s="284" t="s">
        <v>392</v>
      </c>
      <c r="AT30" s="421" t="s">
        <v>397</v>
      </c>
    </row>
    <row r="31" spans="1:46" s="280" customFormat="1" ht="15.75" customHeight="1">
      <c r="A31" s="38"/>
      <c r="B31" s="39"/>
      <c r="C31" s="40"/>
      <c r="D31" s="41"/>
      <c r="E31" s="42"/>
      <c r="F31" s="41"/>
      <c r="G31" s="385"/>
      <c r="H31" s="43"/>
      <c r="I31" s="44"/>
      <c r="J31" s="45"/>
      <c r="K31" s="44"/>
      <c r="L31" s="238"/>
      <c r="M31" s="47"/>
      <c r="N31" s="48"/>
      <c r="O31" s="49"/>
      <c r="P31" s="50"/>
      <c r="Q31" s="51"/>
      <c r="R31" s="52"/>
      <c r="S31" s="53"/>
      <c r="T31" s="281" t="s">
        <v>95</v>
      </c>
      <c r="U31" s="156"/>
      <c r="V31" s="151">
        <f>1/0.95</f>
        <v>1.0526315789473684</v>
      </c>
      <c r="W31" s="139">
        <f>1/2.95</f>
        <v>0.33898305084745761</v>
      </c>
      <c r="X31" s="140"/>
      <c r="Y31" s="141">
        <f>1/1.17</f>
        <v>0.85470085470085477</v>
      </c>
      <c r="Z31" s="139">
        <f>1/3.13</f>
        <v>0.31948881789137379</v>
      </c>
      <c r="AA31" s="140"/>
      <c r="AB31" s="141"/>
      <c r="AC31" s="139"/>
      <c r="AD31" s="142"/>
      <c r="AE31" s="53"/>
      <c r="AF31" s="59">
        <v>4</v>
      </c>
      <c r="AG31" s="60"/>
      <c r="AH31" s="61"/>
      <c r="AI31" s="59">
        <v>2.8</v>
      </c>
      <c r="AJ31" s="60"/>
      <c r="AK31" s="61"/>
      <c r="AL31" s="59"/>
      <c r="AM31" s="60"/>
      <c r="AN31" s="61"/>
      <c r="AO31" s="245"/>
      <c r="AP31" s="62"/>
      <c r="AQ31" s="63"/>
      <c r="AR31" s="64"/>
      <c r="AS31" s="282"/>
      <c r="AT31" s="422" t="s">
        <v>398</v>
      </c>
    </row>
    <row r="32" spans="1:46" s="280" customFormat="1" ht="15.75" customHeight="1">
      <c r="A32" s="157" t="s">
        <v>124</v>
      </c>
      <c r="B32" s="158"/>
      <c r="C32" s="159"/>
      <c r="D32" s="160" t="s">
        <v>38</v>
      </c>
      <c r="E32" s="161" t="s">
        <v>38</v>
      </c>
      <c r="F32" s="160" t="s">
        <v>38</v>
      </c>
      <c r="G32" s="386">
        <v>80</v>
      </c>
      <c r="H32" s="162">
        <v>19</v>
      </c>
      <c r="I32" s="163" t="s">
        <v>314</v>
      </c>
      <c r="J32" s="164">
        <v>19</v>
      </c>
      <c r="K32" s="163"/>
      <c r="L32" s="240" t="s">
        <v>275</v>
      </c>
      <c r="M32" s="166"/>
      <c r="N32" s="167"/>
      <c r="O32" s="168"/>
      <c r="P32" s="169"/>
      <c r="Q32" s="170"/>
      <c r="R32" s="171"/>
      <c r="S32" s="172"/>
      <c r="T32" s="276" t="s">
        <v>95</v>
      </c>
      <c r="U32" s="173"/>
      <c r="V32" s="174">
        <f>1.42</f>
        <v>1.42</v>
      </c>
      <c r="W32" s="175">
        <f>1/3.6</f>
        <v>0.27777777777777779</v>
      </c>
      <c r="X32" s="176"/>
      <c r="Y32" s="177">
        <f>1/1.44</f>
        <v>0.69444444444444442</v>
      </c>
      <c r="Z32" s="175">
        <f>1/3.79</f>
        <v>0.26385224274406333</v>
      </c>
      <c r="AA32" s="176"/>
      <c r="AB32" s="177"/>
      <c r="AC32" s="175"/>
      <c r="AD32" s="178"/>
      <c r="AE32" s="172"/>
      <c r="AF32" s="179">
        <v>0.5</v>
      </c>
      <c r="AG32" s="277"/>
      <c r="AH32" s="278"/>
      <c r="AI32" s="179">
        <v>0.5</v>
      </c>
      <c r="AJ32" s="277"/>
      <c r="AK32" s="278"/>
      <c r="AL32" s="179"/>
      <c r="AM32" s="277"/>
      <c r="AN32" s="278"/>
      <c r="AO32" s="252"/>
      <c r="AP32" s="181"/>
      <c r="AQ32" s="182"/>
      <c r="AR32" s="112"/>
      <c r="AS32" s="279" t="s">
        <v>391</v>
      </c>
      <c r="AT32" s="421" t="s">
        <v>397</v>
      </c>
    </row>
    <row r="33" spans="1:46" s="280" customFormat="1" ht="15.75" customHeight="1">
      <c r="A33" s="38"/>
      <c r="B33" s="39"/>
      <c r="C33" s="40"/>
      <c r="D33" s="41"/>
      <c r="E33" s="42"/>
      <c r="F33" s="41"/>
      <c r="G33" s="385"/>
      <c r="H33" s="43"/>
      <c r="I33" s="44"/>
      <c r="J33" s="45"/>
      <c r="K33" s="44"/>
      <c r="L33" s="238"/>
      <c r="M33" s="47"/>
      <c r="N33" s="48"/>
      <c r="O33" s="49"/>
      <c r="P33" s="50"/>
      <c r="Q33" s="51"/>
      <c r="R33" s="52"/>
      <c r="S33" s="53"/>
      <c r="T33" s="281" t="s">
        <v>95</v>
      </c>
      <c r="U33" s="156"/>
      <c r="V33" s="151">
        <f>1/1.32</f>
        <v>0.75757575757575757</v>
      </c>
      <c r="W33" s="139">
        <f>1/3.44</f>
        <v>0.29069767441860467</v>
      </c>
      <c r="X33" s="140"/>
      <c r="Y33" s="141">
        <f>1/1.29</f>
        <v>0.77519379844961234</v>
      </c>
      <c r="Z33" s="139">
        <f>1/3.33</f>
        <v>0.3003003003003003</v>
      </c>
      <c r="AA33" s="140"/>
      <c r="AB33" s="141"/>
      <c r="AC33" s="139"/>
      <c r="AD33" s="142"/>
      <c r="AE33" s="53"/>
      <c r="AF33" s="59">
        <v>4</v>
      </c>
      <c r="AG33" s="60"/>
      <c r="AH33" s="61"/>
      <c r="AI33" s="59">
        <v>2.2999999999999998</v>
      </c>
      <c r="AJ33" s="60"/>
      <c r="AK33" s="61"/>
      <c r="AL33" s="59"/>
      <c r="AM33" s="60"/>
      <c r="AN33" s="61"/>
      <c r="AO33" s="245"/>
      <c r="AP33" s="62"/>
      <c r="AQ33" s="63"/>
      <c r="AR33" s="64"/>
      <c r="AS33" s="282"/>
      <c r="AT33" s="422" t="s">
        <v>398</v>
      </c>
    </row>
    <row r="34" spans="1:46" s="280" customFormat="1" ht="15.75" customHeight="1">
      <c r="A34" s="67" t="s">
        <v>125</v>
      </c>
      <c r="B34" s="68"/>
      <c r="C34" s="69"/>
      <c r="D34" s="70" t="s">
        <v>38</v>
      </c>
      <c r="E34" s="71" t="s">
        <v>38</v>
      </c>
      <c r="F34" s="70" t="s">
        <v>38</v>
      </c>
      <c r="G34" s="387">
        <v>78</v>
      </c>
      <c r="H34" s="72">
        <v>18</v>
      </c>
      <c r="I34" s="73" t="s">
        <v>314</v>
      </c>
      <c r="J34" s="74">
        <v>18</v>
      </c>
      <c r="K34" s="73"/>
      <c r="L34" s="239" t="s">
        <v>275</v>
      </c>
      <c r="M34" s="76"/>
      <c r="N34" s="77"/>
      <c r="O34" s="78"/>
      <c r="P34" s="79"/>
      <c r="Q34" s="80"/>
      <c r="R34" s="81"/>
      <c r="S34" s="68"/>
      <c r="T34" s="283" t="s">
        <v>98</v>
      </c>
      <c r="U34" s="83"/>
      <c r="V34" s="84">
        <f>1/2.04</f>
        <v>0.49019607843137253</v>
      </c>
      <c r="W34" s="85"/>
      <c r="X34" s="80"/>
      <c r="Y34" s="86"/>
      <c r="Z34" s="85"/>
      <c r="AA34" s="80"/>
      <c r="AB34" s="86"/>
      <c r="AC34" s="85"/>
      <c r="AD34" s="87"/>
      <c r="AE34" s="68"/>
      <c r="AF34" s="88">
        <v>1</v>
      </c>
      <c r="AG34" s="89"/>
      <c r="AH34" s="90"/>
      <c r="AI34" s="88"/>
      <c r="AJ34" s="89"/>
      <c r="AK34" s="90"/>
      <c r="AL34" s="88"/>
      <c r="AM34" s="89"/>
      <c r="AN34" s="90"/>
      <c r="AO34" s="246"/>
      <c r="AP34" s="91"/>
      <c r="AQ34" s="73"/>
      <c r="AR34" s="92"/>
      <c r="AS34" s="284" t="s">
        <v>392</v>
      </c>
      <c r="AT34" s="423" t="s">
        <v>398</v>
      </c>
    </row>
    <row r="35" spans="1:46" s="280" customFormat="1" ht="15.75" customHeight="1">
      <c r="A35" s="157" t="s">
        <v>126</v>
      </c>
      <c r="B35" s="158"/>
      <c r="C35" s="159"/>
      <c r="D35" s="160" t="s">
        <v>38</v>
      </c>
      <c r="E35" s="161" t="s">
        <v>38</v>
      </c>
      <c r="F35" s="160" t="s">
        <v>38</v>
      </c>
      <c r="G35" s="386">
        <v>75.3</v>
      </c>
      <c r="H35" s="162">
        <v>16</v>
      </c>
      <c r="I35" s="163" t="s">
        <v>314</v>
      </c>
      <c r="J35" s="164">
        <v>16</v>
      </c>
      <c r="K35" s="163"/>
      <c r="L35" s="240" t="s">
        <v>275</v>
      </c>
      <c r="M35" s="166"/>
      <c r="N35" s="167"/>
      <c r="O35" s="168"/>
      <c r="P35" s="169"/>
      <c r="Q35" s="170"/>
      <c r="R35" s="171"/>
      <c r="S35" s="172"/>
      <c r="T35" s="276" t="s">
        <v>95</v>
      </c>
      <c r="U35" s="173"/>
      <c r="V35" s="174">
        <f>1/1.92</f>
        <v>0.52083333333333337</v>
      </c>
      <c r="W35" s="175">
        <f>1/4.55</f>
        <v>0.21978021978021978</v>
      </c>
      <c r="X35" s="176"/>
      <c r="Y35" s="177">
        <f>1/1.96</f>
        <v>0.51020408163265307</v>
      </c>
      <c r="Z35" s="175">
        <f>1/4.55</f>
        <v>0.21978021978021978</v>
      </c>
      <c r="AA35" s="176"/>
      <c r="AB35" s="177"/>
      <c r="AC35" s="175"/>
      <c r="AD35" s="178"/>
      <c r="AE35" s="172"/>
      <c r="AF35" s="179">
        <v>7.1</v>
      </c>
      <c r="AG35" s="277"/>
      <c r="AH35" s="278"/>
      <c r="AI35" s="179">
        <v>7.3</v>
      </c>
      <c r="AJ35" s="277"/>
      <c r="AK35" s="278"/>
      <c r="AL35" s="179"/>
      <c r="AM35" s="277"/>
      <c r="AN35" s="278"/>
      <c r="AO35" s="252"/>
      <c r="AP35" s="181"/>
      <c r="AQ35" s="182"/>
      <c r="AR35" s="112"/>
      <c r="AS35" s="284" t="s">
        <v>392</v>
      </c>
      <c r="AT35" s="421" t="s">
        <v>397</v>
      </c>
    </row>
    <row r="36" spans="1:46" s="280" customFormat="1" ht="15.75" customHeight="1">
      <c r="A36" s="38"/>
      <c r="B36" s="39"/>
      <c r="C36" s="40"/>
      <c r="D36" s="41"/>
      <c r="E36" s="42"/>
      <c r="F36" s="41"/>
      <c r="G36" s="385"/>
      <c r="H36" s="43"/>
      <c r="I36" s="44"/>
      <c r="J36" s="45"/>
      <c r="K36" s="44"/>
      <c r="L36" s="238"/>
      <c r="M36" s="47"/>
      <c r="N36" s="48"/>
      <c r="O36" s="49"/>
      <c r="P36" s="50"/>
      <c r="Q36" s="51"/>
      <c r="R36" s="52"/>
      <c r="S36" s="53"/>
      <c r="T36" s="281" t="s">
        <v>95</v>
      </c>
      <c r="U36" s="156"/>
      <c r="V36" s="151">
        <f>1/1.89</f>
        <v>0.52910052910052918</v>
      </c>
      <c r="W36" s="139">
        <f>1/4.17</f>
        <v>0.23980815347721823</v>
      </c>
      <c r="X36" s="140"/>
      <c r="Y36" s="141">
        <f>1/2.04</f>
        <v>0.49019607843137253</v>
      </c>
      <c r="Z36" s="139">
        <f>1/4.35</f>
        <v>0.22988505747126439</v>
      </c>
      <c r="AA36" s="140"/>
      <c r="AB36" s="141"/>
      <c r="AC36" s="139"/>
      <c r="AD36" s="142"/>
      <c r="AE36" s="53"/>
      <c r="AF36" s="59">
        <v>5.8</v>
      </c>
      <c r="AG36" s="60"/>
      <c r="AH36" s="61"/>
      <c r="AI36" s="59">
        <v>7.5</v>
      </c>
      <c r="AJ36" s="60"/>
      <c r="AK36" s="61"/>
      <c r="AL36" s="59"/>
      <c r="AM36" s="60"/>
      <c r="AN36" s="61"/>
      <c r="AO36" s="245"/>
      <c r="AP36" s="62"/>
      <c r="AQ36" s="63"/>
      <c r="AR36" s="64"/>
      <c r="AS36" s="282"/>
      <c r="AT36" s="422" t="s">
        <v>398</v>
      </c>
    </row>
    <row r="37" spans="1:46" ht="15.75" customHeight="1">
      <c r="A37" s="67" t="s">
        <v>127</v>
      </c>
      <c r="B37" s="68"/>
      <c r="C37" s="69"/>
      <c r="D37" s="218" t="s">
        <v>12</v>
      </c>
      <c r="E37" s="218" t="s">
        <v>12</v>
      </c>
      <c r="F37" s="219" t="s">
        <v>12</v>
      </c>
      <c r="G37" s="387">
        <v>72.5</v>
      </c>
      <c r="H37" s="72">
        <v>12</v>
      </c>
      <c r="I37" s="73" t="s">
        <v>314</v>
      </c>
      <c r="J37" s="74">
        <v>12</v>
      </c>
      <c r="K37" s="73"/>
      <c r="L37" s="239" t="s">
        <v>275</v>
      </c>
      <c r="M37" s="76"/>
      <c r="N37" s="152"/>
      <c r="O37" s="95"/>
      <c r="P37" s="79"/>
      <c r="Q37" s="80"/>
      <c r="R37" s="81"/>
      <c r="S37" s="68" t="s">
        <v>12</v>
      </c>
      <c r="T37" s="82"/>
      <c r="U37" s="83"/>
      <c r="V37" s="84">
        <v>0.87</v>
      </c>
      <c r="W37" s="85" t="s">
        <v>12</v>
      </c>
      <c r="X37" s="80" t="s">
        <v>12</v>
      </c>
      <c r="Y37" s="86" t="s">
        <v>12</v>
      </c>
      <c r="Z37" s="85" t="s">
        <v>12</v>
      </c>
      <c r="AA37" s="80" t="s">
        <v>12</v>
      </c>
      <c r="AB37" s="86" t="s">
        <v>12</v>
      </c>
      <c r="AC37" s="85" t="s">
        <v>12</v>
      </c>
      <c r="AD37" s="87" t="s">
        <v>12</v>
      </c>
      <c r="AE37" s="68" t="s">
        <v>91</v>
      </c>
      <c r="AF37" s="88">
        <v>1</v>
      </c>
      <c r="AG37" s="89" t="s">
        <v>12</v>
      </c>
      <c r="AH37" s="90" t="s">
        <v>12</v>
      </c>
      <c r="AI37" s="88" t="s">
        <v>12</v>
      </c>
      <c r="AJ37" s="89" t="s">
        <v>12</v>
      </c>
      <c r="AK37" s="90" t="s">
        <v>12</v>
      </c>
      <c r="AL37" s="88" t="s">
        <v>12</v>
      </c>
      <c r="AM37" s="89" t="s">
        <v>12</v>
      </c>
      <c r="AN37" s="90" t="s">
        <v>12</v>
      </c>
      <c r="AO37" s="246"/>
      <c r="AP37" s="91"/>
      <c r="AQ37" s="73"/>
      <c r="AR37" s="92"/>
      <c r="AS37" s="275"/>
      <c r="AT37" s="423" t="s">
        <v>397</v>
      </c>
    </row>
    <row r="38" spans="1:46" s="280" customFormat="1" ht="15.75" customHeight="1">
      <c r="A38" s="157" t="s">
        <v>128</v>
      </c>
      <c r="B38" s="158"/>
      <c r="C38" s="159"/>
      <c r="D38" s="160" t="s">
        <v>38</v>
      </c>
      <c r="E38" s="161" t="s">
        <v>38</v>
      </c>
      <c r="F38" s="160" t="s">
        <v>38</v>
      </c>
      <c r="G38" s="386">
        <v>72.5</v>
      </c>
      <c r="H38" s="162">
        <v>13</v>
      </c>
      <c r="I38" s="163" t="s">
        <v>314</v>
      </c>
      <c r="J38" s="164">
        <v>13</v>
      </c>
      <c r="K38" s="163"/>
      <c r="L38" s="240" t="s">
        <v>275</v>
      </c>
      <c r="M38" s="166"/>
      <c r="N38" s="167"/>
      <c r="O38" s="168"/>
      <c r="P38" s="169"/>
      <c r="Q38" s="170"/>
      <c r="R38" s="171"/>
      <c r="S38" s="172"/>
      <c r="T38" s="276" t="s">
        <v>83</v>
      </c>
      <c r="U38" s="173"/>
      <c r="V38" s="174">
        <f>1/1.15</f>
        <v>0.86956521739130443</v>
      </c>
      <c r="W38" s="175"/>
      <c r="X38" s="176"/>
      <c r="Y38" s="177">
        <f>1/1.15</f>
        <v>0.86956521739130443</v>
      </c>
      <c r="Z38" s="175"/>
      <c r="AA38" s="176"/>
      <c r="AB38" s="177"/>
      <c r="AC38" s="175"/>
      <c r="AD38" s="178"/>
      <c r="AE38" s="172"/>
      <c r="AF38" s="179">
        <v>0.3</v>
      </c>
      <c r="AG38" s="277"/>
      <c r="AH38" s="278"/>
      <c r="AI38" s="179">
        <v>0.3</v>
      </c>
      <c r="AJ38" s="277"/>
      <c r="AK38" s="278"/>
      <c r="AL38" s="179"/>
      <c r="AM38" s="277"/>
      <c r="AN38" s="278"/>
      <c r="AO38" s="252"/>
      <c r="AP38" s="181"/>
      <c r="AQ38" s="182"/>
      <c r="AR38" s="112"/>
      <c r="AS38" s="279" t="s">
        <v>250</v>
      </c>
      <c r="AT38" s="421" t="s">
        <v>397</v>
      </c>
    </row>
    <row r="39" spans="1:46" s="280" customFormat="1" ht="15.75" customHeight="1">
      <c r="A39" s="12"/>
      <c r="B39" s="13"/>
      <c r="C39" s="14"/>
      <c r="D39" s="424"/>
      <c r="E39" s="15"/>
      <c r="F39" s="424"/>
      <c r="G39" s="388"/>
      <c r="H39" s="391"/>
      <c r="I39" s="16"/>
      <c r="J39" s="96"/>
      <c r="K39" s="16"/>
      <c r="L39" s="237"/>
      <c r="M39" s="19"/>
      <c r="N39" s="97"/>
      <c r="O39" s="98"/>
      <c r="P39" s="22"/>
      <c r="Q39" s="21"/>
      <c r="R39" s="23"/>
      <c r="S39" s="115"/>
      <c r="T39" s="286" t="s">
        <v>83</v>
      </c>
      <c r="U39" s="117"/>
      <c r="V39" s="118">
        <f>1/1.16</f>
        <v>0.86206896551724144</v>
      </c>
      <c r="W39" s="119"/>
      <c r="X39" s="120"/>
      <c r="Y39" s="121"/>
      <c r="Z39" s="119"/>
      <c r="AA39" s="120"/>
      <c r="AB39" s="121"/>
      <c r="AC39" s="119"/>
      <c r="AD39" s="122"/>
      <c r="AE39" s="115"/>
      <c r="AF39" s="124">
        <v>1.2</v>
      </c>
      <c r="AG39" s="125"/>
      <c r="AH39" s="126"/>
      <c r="AI39" s="124"/>
      <c r="AJ39" s="125"/>
      <c r="AK39" s="126"/>
      <c r="AL39" s="124"/>
      <c r="AM39" s="125"/>
      <c r="AN39" s="126"/>
      <c r="AO39" s="248"/>
      <c r="AP39" s="127"/>
      <c r="AQ39" s="128"/>
      <c r="AR39" s="137"/>
      <c r="AS39" s="289"/>
      <c r="AT39" s="425" t="s">
        <v>398</v>
      </c>
    </row>
    <row r="40" spans="1:46" s="280" customFormat="1" ht="15.75" customHeight="1">
      <c r="A40" s="38"/>
      <c r="B40" s="39"/>
      <c r="C40" s="40"/>
      <c r="D40" s="41"/>
      <c r="E40" s="42"/>
      <c r="F40" s="41"/>
      <c r="G40" s="385"/>
      <c r="H40" s="43"/>
      <c r="I40" s="44"/>
      <c r="J40" s="45"/>
      <c r="K40" s="44"/>
      <c r="L40" s="238"/>
      <c r="M40" s="47"/>
      <c r="N40" s="48"/>
      <c r="O40" s="49"/>
      <c r="P40" s="50"/>
      <c r="Q40" s="51"/>
      <c r="R40" s="52"/>
      <c r="S40" s="53"/>
      <c r="T40" s="281" t="s">
        <v>83</v>
      </c>
      <c r="U40" s="156"/>
      <c r="V40" s="151">
        <f>1/1.06</f>
        <v>0.94339622641509424</v>
      </c>
      <c r="W40" s="139"/>
      <c r="X40" s="140"/>
      <c r="Y40" s="141"/>
      <c r="Z40" s="139"/>
      <c r="AA40" s="140"/>
      <c r="AB40" s="141"/>
      <c r="AC40" s="139"/>
      <c r="AD40" s="142"/>
      <c r="AE40" s="53"/>
      <c r="AF40" s="59">
        <v>0.3</v>
      </c>
      <c r="AG40" s="60"/>
      <c r="AH40" s="61"/>
      <c r="AI40" s="59"/>
      <c r="AJ40" s="60"/>
      <c r="AK40" s="61"/>
      <c r="AL40" s="59"/>
      <c r="AM40" s="60"/>
      <c r="AN40" s="61"/>
      <c r="AO40" s="245"/>
      <c r="AP40" s="62"/>
      <c r="AQ40" s="63"/>
      <c r="AR40" s="64"/>
      <c r="AS40" s="282"/>
      <c r="AT40" s="422" t="s">
        <v>398</v>
      </c>
    </row>
    <row r="41" spans="1:46" s="280" customFormat="1" ht="15.75" customHeight="1">
      <c r="A41" s="67" t="s">
        <v>129</v>
      </c>
      <c r="B41" s="68"/>
      <c r="C41" s="69"/>
      <c r="D41" s="70" t="s">
        <v>38</v>
      </c>
      <c r="E41" s="71" t="s">
        <v>38</v>
      </c>
      <c r="F41" s="70" t="s">
        <v>38</v>
      </c>
      <c r="G41" s="387">
        <v>72.5</v>
      </c>
      <c r="H41" s="72">
        <v>12</v>
      </c>
      <c r="I41" s="73" t="s">
        <v>314</v>
      </c>
      <c r="J41" s="74">
        <v>12</v>
      </c>
      <c r="K41" s="73"/>
      <c r="L41" s="239" t="s">
        <v>275</v>
      </c>
      <c r="M41" s="76"/>
      <c r="N41" s="77"/>
      <c r="O41" s="78"/>
      <c r="P41" s="79"/>
      <c r="Q41" s="80"/>
      <c r="R41" s="81"/>
      <c r="S41" s="68"/>
      <c r="T41" s="283"/>
      <c r="U41" s="83"/>
      <c r="V41" s="84">
        <v>0.85</v>
      </c>
      <c r="W41" s="85"/>
      <c r="X41" s="80"/>
      <c r="Y41" s="86"/>
      <c r="Z41" s="85"/>
      <c r="AA41" s="80"/>
      <c r="AB41" s="86"/>
      <c r="AC41" s="85"/>
      <c r="AD41" s="87"/>
      <c r="AE41" s="68"/>
      <c r="AF41" s="88">
        <v>0.159</v>
      </c>
      <c r="AG41" s="89"/>
      <c r="AH41" s="90"/>
      <c r="AI41" s="88"/>
      <c r="AJ41" s="89"/>
      <c r="AK41" s="90"/>
      <c r="AL41" s="88"/>
      <c r="AM41" s="89"/>
      <c r="AN41" s="90"/>
      <c r="AO41" s="246"/>
      <c r="AP41" s="91"/>
      <c r="AQ41" s="73"/>
      <c r="AR41" s="92"/>
      <c r="AS41" s="288" t="s">
        <v>250</v>
      </c>
      <c r="AT41" s="423" t="s">
        <v>397</v>
      </c>
    </row>
    <row r="42" spans="1:46" ht="15.75" customHeight="1">
      <c r="A42" s="67" t="s">
        <v>130</v>
      </c>
      <c r="B42" s="68"/>
      <c r="C42" s="69"/>
      <c r="D42" s="218" t="s">
        <v>12</v>
      </c>
      <c r="E42" s="218" t="s">
        <v>12</v>
      </c>
      <c r="F42" s="219" t="s">
        <v>12</v>
      </c>
      <c r="G42" s="387">
        <v>69.900000000000006</v>
      </c>
      <c r="H42" s="72">
        <v>12.4</v>
      </c>
      <c r="I42" s="73" t="s">
        <v>314</v>
      </c>
      <c r="J42" s="74">
        <v>12.4</v>
      </c>
      <c r="K42" s="73"/>
      <c r="L42" s="239" t="s">
        <v>275</v>
      </c>
      <c r="M42" s="76"/>
      <c r="N42" s="152"/>
      <c r="O42" s="95"/>
      <c r="P42" s="79"/>
      <c r="Q42" s="80"/>
      <c r="R42" s="81"/>
      <c r="S42" s="68" t="s">
        <v>12</v>
      </c>
      <c r="T42" s="82"/>
      <c r="U42" s="83"/>
      <c r="V42" s="84">
        <v>0.56999999999999995</v>
      </c>
      <c r="W42" s="85" t="s">
        <v>12</v>
      </c>
      <c r="X42" s="80" t="s">
        <v>12</v>
      </c>
      <c r="Y42" s="86" t="s">
        <v>12</v>
      </c>
      <c r="Z42" s="85" t="s">
        <v>12</v>
      </c>
      <c r="AA42" s="80" t="s">
        <v>12</v>
      </c>
      <c r="AB42" s="86">
        <v>0.56000000000000005</v>
      </c>
      <c r="AC42" s="85" t="s">
        <v>12</v>
      </c>
      <c r="AD42" s="87" t="s">
        <v>12</v>
      </c>
      <c r="AE42" s="68" t="s">
        <v>91</v>
      </c>
      <c r="AF42" s="88">
        <v>2.4</v>
      </c>
      <c r="AG42" s="89" t="s">
        <v>12</v>
      </c>
      <c r="AH42" s="90" t="s">
        <v>12</v>
      </c>
      <c r="AI42" s="88" t="s">
        <v>12</v>
      </c>
      <c r="AJ42" s="89" t="s">
        <v>12</v>
      </c>
      <c r="AK42" s="90" t="s">
        <v>12</v>
      </c>
      <c r="AL42" s="88" t="s">
        <v>12</v>
      </c>
      <c r="AM42" s="89" t="s">
        <v>12</v>
      </c>
      <c r="AN42" s="90" t="s">
        <v>12</v>
      </c>
      <c r="AO42" s="246"/>
      <c r="AP42" s="91"/>
      <c r="AQ42" s="73"/>
      <c r="AR42" s="92"/>
      <c r="AS42" s="275"/>
      <c r="AT42" s="423" t="s">
        <v>397</v>
      </c>
    </row>
    <row r="43" spans="1:46" s="280" customFormat="1" ht="15.75" customHeight="1">
      <c r="A43" s="157" t="s">
        <v>131</v>
      </c>
      <c r="B43" s="158"/>
      <c r="C43" s="159"/>
      <c r="D43" s="160" t="s">
        <v>38</v>
      </c>
      <c r="E43" s="161" t="s">
        <v>38</v>
      </c>
      <c r="F43" s="160" t="s">
        <v>38</v>
      </c>
      <c r="G43" s="386">
        <v>68.2</v>
      </c>
      <c r="H43" s="162">
        <v>11.5</v>
      </c>
      <c r="I43" s="163" t="s">
        <v>314</v>
      </c>
      <c r="J43" s="164">
        <v>11.5</v>
      </c>
      <c r="K43" s="163"/>
      <c r="L43" s="240" t="s">
        <v>275</v>
      </c>
      <c r="M43" s="166"/>
      <c r="N43" s="167"/>
      <c r="O43" s="168"/>
      <c r="P43" s="169"/>
      <c r="Q43" s="170"/>
      <c r="R43" s="171"/>
      <c r="S43" s="172"/>
      <c r="T43" s="276" t="s">
        <v>96</v>
      </c>
      <c r="U43" s="173"/>
      <c r="V43" s="174">
        <f>1/1.1</f>
        <v>0.90909090909090906</v>
      </c>
      <c r="W43" s="175">
        <f>1/3.42</f>
        <v>0.29239766081871343</v>
      </c>
      <c r="X43" s="176"/>
      <c r="Y43" s="177">
        <f>1/1.13</f>
        <v>0.88495575221238942</v>
      </c>
      <c r="Z43" s="175">
        <f>1/3.44</f>
        <v>0.29069767441860467</v>
      </c>
      <c r="AA43" s="176"/>
      <c r="AB43" s="177">
        <f>1/2.42</f>
        <v>0.41322314049586778</v>
      </c>
      <c r="AC43" s="175"/>
      <c r="AD43" s="178"/>
      <c r="AE43" s="172"/>
      <c r="AF43" s="179">
        <v>0.73</v>
      </c>
      <c r="AG43" s="277"/>
      <c r="AH43" s="278"/>
      <c r="AI43" s="179">
        <v>0.6</v>
      </c>
      <c r="AJ43" s="277"/>
      <c r="AK43" s="278"/>
      <c r="AL43" s="179">
        <v>0.64</v>
      </c>
      <c r="AM43" s="277"/>
      <c r="AN43" s="278"/>
      <c r="AO43" s="252"/>
      <c r="AP43" s="181"/>
      <c r="AQ43" s="182"/>
      <c r="AR43" s="112"/>
      <c r="AS43" s="279" t="s">
        <v>391</v>
      </c>
      <c r="AT43" s="421" t="s">
        <v>397</v>
      </c>
    </row>
    <row r="44" spans="1:46" s="280" customFormat="1" ht="15.75" customHeight="1">
      <c r="A44" s="38"/>
      <c r="B44" s="39"/>
      <c r="C44" s="40"/>
      <c r="D44" s="41"/>
      <c r="E44" s="42"/>
      <c r="F44" s="41"/>
      <c r="G44" s="385"/>
      <c r="H44" s="43"/>
      <c r="I44" s="44"/>
      <c r="J44" s="45"/>
      <c r="K44" s="44"/>
      <c r="L44" s="238"/>
      <c r="M44" s="47"/>
      <c r="N44" s="48"/>
      <c r="O44" s="49"/>
      <c r="P44" s="50"/>
      <c r="Q44" s="51"/>
      <c r="R44" s="52"/>
      <c r="S44" s="53"/>
      <c r="T44" s="281" t="s">
        <v>95</v>
      </c>
      <c r="U44" s="156"/>
      <c r="V44" s="151">
        <f>1/1.1</f>
        <v>0.90909090909090906</v>
      </c>
      <c r="W44" s="139"/>
      <c r="X44" s="140"/>
      <c r="Y44" s="141">
        <f>1/1.12</f>
        <v>0.89285714285714279</v>
      </c>
      <c r="Z44" s="139"/>
      <c r="AA44" s="140"/>
      <c r="AB44" s="141"/>
      <c r="AC44" s="139"/>
      <c r="AD44" s="142"/>
      <c r="AE44" s="53"/>
      <c r="AF44" s="59">
        <v>0.8</v>
      </c>
      <c r="AG44" s="60"/>
      <c r="AH44" s="61"/>
      <c r="AI44" s="59">
        <v>0.6</v>
      </c>
      <c r="AJ44" s="60"/>
      <c r="AK44" s="61"/>
      <c r="AL44" s="59"/>
      <c r="AM44" s="60"/>
      <c r="AN44" s="61"/>
      <c r="AO44" s="245"/>
      <c r="AP44" s="62"/>
      <c r="AQ44" s="63"/>
      <c r="AR44" s="64"/>
      <c r="AS44" s="282"/>
      <c r="AT44" s="422" t="s">
        <v>397</v>
      </c>
    </row>
    <row r="45" spans="1:46" s="280" customFormat="1" ht="15.75" customHeight="1">
      <c r="A45" s="157" t="s">
        <v>132</v>
      </c>
      <c r="B45" s="158"/>
      <c r="C45" s="159"/>
      <c r="D45" s="160" t="s">
        <v>38</v>
      </c>
      <c r="E45" s="161" t="s">
        <v>38</v>
      </c>
      <c r="F45" s="160" t="s">
        <v>38</v>
      </c>
      <c r="G45" s="386">
        <v>68.2</v>
      </c>
      <c r="H45" s="162">
        <v>11.378</v>
      </c>
      <c r="I45" s="163" t="s">
        <v>314</v>
      </c>
      <c r="J45" s="164">
        <v>11.378</v>
      </c>
      <c r="K45" s="163"/>
      <c r="L45" s="240" t="s">
        <v>282</v>
      </c>
      <c r="M45" s="166"/>
      <c r="N45" s="167"/>
      <c r="O45" s="168"/>
      <c r="P45" s="169"/>
      <c r="Q45" s="170"/>
      <c r="R45" s="171"/>
      <c r="S45" s="172">
        <v>1</v>
      </c>
      <c r="T45" s="276" t="s">
        <v>96</v>
      </c>
      <c r="U45" s="173" t="s">
        <v>43</v>
      </c>
      <c r="V45" s="174">
        <v>0.90900000000000003</v>
      </c>
      <c r="W45" s="175"/>
      <c r="X45" s="176"/>
      <c r="Y45" s="177">
        <v>0.88600000000000001</v>
      </c>
      <c r="Z45" s="175"/>
      <c r="AA45" s="176"/>
      <c r="AB45" s="177"/>
      <c r="AC45" s="175"/>
      <c r="AD45" s="178"/>
      <c r="AE45" s="172"/>
      <c r="AF45" s="179">
        <v>0.7</v>
      </c>
      <c r="AG45" s="277"/>
      <c r="AH45" s="278"/>
      <c r="AI45" s="179">
        <v>0.6</v>
      </c>
      <c r="AJ45" s="277"/>
      <c r="AK45" s="278"/>
      <c r="AL45" s="179"/>
      <c r="AM45" s="277"/>
      <c r="AN45" s="278"/>
      <c r="AO45" s="252"/>
      <c r="AP45" s="181"/>
      <c r="AQ45" s="182"/>
      <c r="AR45" s="112"/>
      <c r="AS45" s="279" t="s">
        <v>391</v>
      </c>
      <c r="AT45" s="421" t="s">
        <v>397</v>
      </c>
    </row>
    <row r="46" spans="1:46" s="280" customFormat="1" ht="15.75" customHeight="1">
      <c r="A46" s="38"/>
      <c r="B46" s="39"/>
      <c r="C46" s="40"/>
      <c r="D46" s="41"/>
      <c r="E46" s="42"/>
      <c r="F46" s="41"/>
      <c r="G46" s="385"/>
      <c r="H46" s="43"/>
      <c r="I46" s="44"/>
      <c r="J46" s="45"/>
      <c r="K46" s="44"/>
      <c r="L46" s="238" t="s">
        <v>276</v>
      </c>
      <c r="M46" s="47"/>
      <c r="N46" s="48"/>
      <c r="O46" s="49"/>
      <c r="P46" s="50"/>
      <c r="Q46" s="51"/>
      <c r="R46" s="52"/>
      <c r="S46" s="123">
        <v>2</v>
      </c>
      <c r="T46" s="290" t="s">
        <v>95</v>
      </c>
      <c r="U46" s="291" t="s">
        <v>43</v>
      </c>
      <c r="V46" s="292">
        <v>0.91</v>
      </c>
      <c r="W46" s="293"/>
      <c r="X46" s="294"/>
      <c r="Y46" s="295">
        <v>0.89</v>
      </c>
      <c r="Z46" s="293"/>
      <c r="AA46" s="294"/>
      <c r="AB46" s="295"/>
      <c r="AC46" s="293"/>
      <c r="AD46" s="296"/>
      <c r="AE46" s="123"/>
      <c r="AF46" s="297">
        <v>0.8</v>
      </c>
      <c r="AG46" s="298"/>
      <c r="AH46" s="299"/>
      <c r="AI46" s="297">
        <v>0.6</v>
      </c>
      <c r="AJ46" s="298"/>
      <c r="AK46" s="299"/>
      <c r="AL46" s="297"/>
      <c r="AM46" s="298"/>
      <c r="AN46" s="299"/>
      <c r="AO46" s="370"/>
      <c r="AP46" s="300"/>
      <c r="AQ46" s="301"/>
      <c r="AR46" s="302"/>
      <c r="AS46" s="303"/>
      <c r="AT46" s="426" t="s">
        <v>397</v>
      </c>
    </row>
    <row r="47" spans="1:46" ht="15.75" customHeight="1">
      <c r="A47" s="304" t="s">
        <v>133</v>
      </c>
      <c r="B47" s="172"/>
      <c r="C47" s="305"/>
      <c r="D47" s="306" t="s">
        <v>45</v>
      </c>
      <c r="E47" s="307" t="s">
        <v>45</v>
      </c>
      <c r="F47" s="306" t="s">
        <v>45</v>
      </c>
      <c r="G47" s="389">
        <v>67.900000000000006</v>
      </c>
      <c r="H47" s="308">
        <v>11.6</v>
      </c>
      <c r="I47" s="182" t="s">
        <v>314</v>
      </c>
      <c r="J47" s="309">
        <v>11.6</v>
      </c>
      <c r="K47" s="182"/>
      <c r="L47" s="348" t="s">
        <v>275</v>
      </c>
      <c r="M47" s="310"/>
      <c r="N47" s="311"/>
      <c r="O47" s="312"/>
      <c r="P47" s="313"/>
      <c r="Q47" s="176"/>
      <c r="R47" s="314"/>
      <c r="S47" s="172"/>
      <c r="T47" s="276" t="s">
        <v>95</v>
      </c>
      <c r="U47" s="173" t="s">
        <v>43</v>
      </c>
      <c r="V47" s="174">
        <f>1/1.009</f>
        <v>0.99108027750247785</v>
      </c>
      <c r="W47" s="175">
        <f>1/3.418</f>
        <v>0.29256875365710938</v>
      </c>
      <c r="X47" s="176"/>
      <c r="Y47" s="177">
        <f>1/1.123</f>
        <v>0.89047195013357083</v>
      </c>
      <c r="Z47" s="175">
        <f>1/3.442</f>
        <v>0.29052876234747238</v>
      </c>
      <c r="AA47" s="176"/>
      <c r="AB47" s="177"/>
      <c r="AC47" s="175"/>
      <c r="AD47" s="178"/>
      <c r="AE47" s="172"/>
      <c r="AF47" s="179">
        <v>0.8</v>
      </c>
      <c r="AG47" s="277">
        <v>0.67</v>
      </c>
      <c r="AH47" s="278"/>
      <c r="AI47" s="179">
        <v>0.57999999999999996</v>
      </c>
      <c r="AJ47" s="277">
        <v>0.42</v>
      </c>
      <c r="AK47" s="278"/>
      <c r="AL47" s="179"/>
      <c r="AM47" s="277"/>
      <c r="AN47" s="278"/>
      <c r="AO47" s="252"/>
      <c r="AP47" s="181"/>
      <c r="AQ47" s="182"/>
      <c r="AR47" s="112"/>
      <c r="AS47" s="285"/>
      <c r="AT47" s="421" t="s">
        <v>397</v>
      </c>
    </row>
    <row r="48" spans="1:46" ht="15.75" customHeight="1">
      <c r="A48" s="67" t="s">
        <v>134</v>
      </c>
      <c r="B48" s="68"/>
      <c r="C48" s="69"/>
      <c r="D48" s="218" t="s">
        <v>12</v>
      </c>
      <c r="E48" s="218" t="s">
        <v>12</v>
      </c>
      <c r="F48" s="219" t="s">
        <v>12</v>
      </c>
      <c r="G48" s="387">
        <v>67.8</v>
      </c>
      <c r="H48" s="72">
        <v>11.5</v>
      </c>
      <c r="I48" s="73" t="s">
        <v>314</v>
      </c>
      <c r="J48" s="74">
        <v>11.5</v>
      </c>
      <c r="K48" s="73"/>
      <c r="L48" s="239" t="s">
        <v>275</v>
      </c>
      <c r="M48" s="76"/>
      <c r="N48" s="152"/>
      <c r="O48" s="95"/>
      <c r="P48" s="79"/>
      <c r="Q48" s="80"/>
      <c r="R48" s="81"/>
      <c r="S48" s="68" t="s">
        <v>12</v>
      </c>
      <c r="T48" s="82"/>
      <c r="U48" s="83"/>
      <c r="V48" s="84">
        <v>0.56000000000000005</v>
      </c>
      <c r="W48" s="85" t="s">
        <v>12</v>
      </c>
      <c r="X48" s="80" t="s">
        <v>12</v>
      </c>
      <c r="Y48" s="86" t="s">
        <v>12</v>
      </c>
      <c r="Z48" s="85" t="s">
        <v>12</v>
      </c>
      <c r="AA48" s="80" t="s">
        <v>12</v>
      </c>
      <c r="AB48" s="86">
        <v>0.3</v>
      </c>
      <c r="AC48" s="85" t="s">
        <v>12</v>
      </c>
      <c r="AD48" s="87" t="s">
        <v>12</v>
      </c>
      <c r="AE48" s="68" t="s">
        <v>91</v>
      </c>
      <c r="AF48" s="88">
        <v>2.1</v>
      </c>
      <c r="AG48" s="89" t="s">
        <v>12</v>
      </c>
      <c r="AH48" s="90" t="s">
        <v>12</v>
      </c>
      <c r="AI48" s="88" t="s">
        <v>12</v>
      </c>
      <c r="AJ48" s="89" t="s">
        <v>12</v>
      </c>
      <c r="AK48" s="90" t="s">
        <v>12</v>
      </c>
      <c r="AL48" s="88" t="s">
        <v>12</v>
      </c>
      <c r="AM48" s="89" t="s">
        <v>12</v>
      </c>
      <c r="AN48" s="90" t="s">
        <v>12</v>
      </c>
      <c r="AO48" s="246"/>
      <c r="AP48" s="91"/>
      <c r="AQ48" s="73"/>
      <c r="AR48" s="92"/>
      <c r="AS48" s="275"/>
      <c r="AT48" s="423" t="s">
        <v>397</v>
      </c>
    </row>
    <row r="49" spans="1:46" s="280" customFormat="1" ht="15.75" customHeight="1">
      <c r="A49" s="67" t="s">
        <v>135</v>
      </c>
      <c r="B49" s="68"/>
      <c r="C49" s="69"/>
      <c r="D49" s="70" t="s">
        <v>38</v>
      </c>
      <c r="E49" s="71" t="s">
        <v>38</v>
      </c>
      <c r="F49" s="70" t="s">
        <v>38</v>
      </c>
      <c r="G49" s="387">
        <v>67.8</v>
      </c>
      <c r="H49" s="72">
        <v>11.5</v>
      </c>
      <c r="I49" s="73" t="s">
        <v>314</v>
      </c>
      <c r="J49" s="74">
        <v>11.5</v>
      </c>
      <c r="K49" s="73"/>
      <c r="L49" s="239" t="s">
        <v>275</v>
      </c>
      <c r="M49" s="76"/>
      <c r="N49" s="77"/>
      <c r="O49" s="78"/>
      <c r="P49" s="79"/>
      <c r="Q49" s="80"/>
      <c r="R49" s="81"/>
      <c r="S49" s="68"/>
      <c r="T49" s="283"/>
      <c r="U49" s="83" t="s">
        <v>39</v>
      </c>
      <c r="V49" s="84">
        <v>0.55800000000000005</v>
      </c>
      <c r="W49" s="85"/>
      <c r="X49" s="80"/>
      <c r="Y49" s="86"/>
      <c r="Z49" s="85"/>
      <c r="AA49" s="80"/>
      <c r="AB49" s="86">
        <v>0.30299999999999999</v>
      </c>
      <c r="AC49" s="85"/>
      <c r="AD49" s="87"/>
      <c r="AE49" s="68" t="s">
        <v>92</v>
      </c>
      <c r="AF49" s="88">
        <v>2</v>
      </c>
      <c r="AG49" s="89"/>
      <c r="AH49" s="90"/>
      <c r="AI49" s="88"/>
      <c r="AJ49" s="89"/>
      <c r="AK49" s="90"/>
      <c r="AL49" s="88">
        <v>1.75</v>
      </c>
      <c r="AM49" s="89"/>
      <c r="AN49" s="90"/>
      <c r="AO49" s="246"/>
      <c r="AP49" s="91"/>
      <c r="AQ49" s="73"/>
      <c r="AR49" s="92"/>
      <c r="AS49" s="284" t="s">
        <v>392</v>
      </c>
      <c r="AT49" s="423" t="s">
        <v>397</v>
      </c>
    </row>
    <row r="50" spans="1:46" s="280" customFormat="1" ht="15.75" customHeight="1">
      <c r="A50" s="157" t="s">
        <v>136</v>
      </c>
      <c r="B50" s="158"/>
      <c r="C50" s="159"/>
      <c r="D50" s="160" t="s">
        <v>38</v>
      </c>
      <c r="E50" s="161" t="s">
        <v>38</v>
      </c>
      <c r="F50" s="160" t="s">
        <v>38</v>
      </c>
      <c r="G50" s="386">
        <v>67.8</v>
      </c>
      <c r="H50" s="162">
        <v>11.45</v>
      </c>
      <c r="I50" s="163" t="s">
        <v>314</v>
      </c>
      <c r="J50" s="164">
        <v>11.45</v>
      </c>
      <c r="K50" s="163"/>
      <c r="L50" s="240" t="s">
        <v>275</v>
      </c>
      <c r="M50" s="166"/>
      <c r="N50" s="167"/>
      <c r="O50" s="168"/>
      <c r="P50" s="169"/>
      <c r="Q50" s="170"/>
      <c r="R50" s="171"/>
      <c r="S50" s="172"/>
      <c r="T50" s="276"/>
      <c r="U50" s="173"/>
      <c r="V50" s="174">
        <f>1/2.043</f>
        <v>0.48947626040137049</v>
      </c>
      <c r="W50" s="175"/>
      <c r="X50" s="176"/>
      <c r="Y50" s="177">
        <f>1/1.79</f>
        <v>0.55865921787709494</v>
      </c>
      <c r="Z50" s="175"/>
      <c r="AA50" s="176"/>
      <c r="AB50" s="177">
        <f>1/3.3</f>
        <v>0.30303030303030304</v>
      </c>
      <c r="AC50" s="175"/>
      <c r="AD50" s="178"/>
      <c r="AE50" s="172"/>
      <c r="AF50" s="179"/>
      <c r="AG50" s="277"/>
      <c r="AH50" s="278"/>
      <c r="AI50" s="179">
        <v>2.1</v>
      </c>
      <c r="AJ50" s="277"/>
      <c r="AK50" s="278"/>
      <c r="AL50" s="179">
        <v>1.75</v>
      </c>
      <c r="AM50" s="277"/>
      <c r="AN50" s="278"/>
      <c r="AO50" s="252"/>
      <c r="AP50" s="181"/>
      <c r="AQ50" s="182"/>
      <c r="AR50" s="112"/>
      <c r="AS50" s="284" t="s">
        <v>392</v>
      </c>
      <c r="AT50" s="421" t="s">
        <v>397</v>
      </c>
    </row>
    <row r="51" spans="1:46" s="280" customFormat="1" ht="15.75" customHeight="1">
      <c r="A51" s="38"/>
      <c r="B51" s="39"/>
      <c r="C51" s="40"/>
      <c r="D51" s="41"/>
      <c r="E51" s="42"/>
      <c r="F51" s="41"/>
      <c r="G51" s="385"/>
      <c r="H51" s="43"/>
      <c r="I51" s="44"/>
      <c r="J51" s="45"/>
      <c r="K51" s="44"/>
      <c r="L51" s="238"/>
      <c r="M51" s="47"/>
      <c r="N51" s="48"/>
      <c r="O51" s="49"/>
      <c r="P51" s="50"/>
      <c r="Q51" s="51"/>
      <c r="R51" s="52"/>
      <c r="S51" s="53"/>
      <c r="T51" s="281"/>
      <c r="U51" s="156"/>
      <c r="V51" s="151">
        <f>1/1.85</f>
        <v>0.54054054054054046</v>
      </c>
      <c r="W51" s="139"/>
      <c r="X51" s="140"/>
      <c r="Y51" s="141"/>
      <c r="Z51" s="139"/>
      <c r="AA51" s="140"/>
      <c r="AB51" s="141"/>
      <c r="AC51" s="139"/>
      <c r="AD51" s="142"/>
      <c r="AE51" s="53"/>
      <c r="AF51" s="59">
        <v>2.71</v>
      </c>
      <c r="AG51" s="60"/>
      <c r="AH51" s="61"/>
      <c r="AI51" s="59">
        <v>3.66</v>
      </c>
      <c r="AJ51" s="60"/>
      <c r="AK51" s="61"/>
      <c r="AL51" s="59"/>
      <c r="AM51" s="60"/>
      <c r="AN51" s="61"/>
      <c r="AO51" s="245"/>
      <c r="AP51" s="62"/>
      <c r="AQ51" s="63"/>
      <c r="AR51" s="64"/>
      <c r="AS51" s="282"/>
      <c r="AT51" s="422" t="s">
        <v>398</v>
      </c>
    </row>
    <row r="52" spans="1:46" ht="15.75" customHeight="1">
      <c r="A52" s="67" t="s">
        <v>137</v>
      </c>
      <c r="B52" s="68"/>
      <c r="C52" s="69"/>
      <c r="D52" s="218" t="s">
        <v>12</v>
      </c>
      <c r="E52" s="218" t="s">
        <v>12</v>
      </c>
      <c r="F52" s="219" t="s">
        <v>12</v>
      </c>
      <c r="G52" s="387">
        <v>67</v>
      </c>
      <c r="H52" s="72">
        <v>10</v>
      </c>
      <c r="I52" s="73" t="s">
        <v>314</v>
      </c>
      <c r="J52" s="74">
        <v>10</v>
      </c>
      <c r="K52" s="73"/>
      <c r="L52" s="239" t="s">
        <v>275</v>
      </c>
      <c r="M52" s="76"/>
      <c r="N52" s="152"/>
      <c r="O52" s="95"/>
      <c r="P52" s="79"/>
      <c r="Q52" s="80"/>
      <c r="R52" s="81"/>
      <c r="S52" s="68" t="s">
        <v>12</v>
      </c>
      <c r="T52" s="82"/>
      <c r="U52" s="83"/>
      <c r="V52" s="84">
        <v>0.9</v>
      </c>
      <c r="W52" s="85" t="s">
        <v>12</v>
      </c>
      <c r="X52" s="80" t="s">
        <v>12</v>
      </c>
      <c r="Y52" s="86" t="s">
        <v>12</v>
      </c>
      <c r="Z52" s="85" t="s">
        <v>12</v>
      </c>
      <c r="AA52" s="80" t="s">
        <v>12</v>
      </c>
      <c r="AB52" s="86">
        <v>0.47</v>
      </c>
      <c r="AC52" s="85" t="s">
        <v>12</v>
      </c>
      <c r="AD52" s="87" t="s">
        <v>12</v>
      </c>
      <c r="AE52" s="68" t="s">
        <v>91</v>
      </c>
      <c r="AF52" s="88">
        <v>1.2</v>
      </c>
      <c r="AG52" s="89" t="s">
        <v>12</v>
      </c>
      <c r="AH52" s="90" t="s">
        <v>12</v>
      </c>
      <c r="AI52" s="88" t="s">
        <v>12</v>
      </c>
      <c r="AJ52" s="89" t="s">
        <v>12</v>
      </c>
      <c r="AK52" s="90" t="s">
        <v>12</v>
      </c>
      <c r="AL52" s="88" t="s">
        <v>12</v>
      </c>
      <c r="AM52" s="89" t="s">
        <v>12</v>
      </c>
      <c r="AN52" s="90" t="s">
        <v>12</v>
      </c>
      <c r="AO52" s="246"/>
      <c r="AP52" s="91"/>
      <c r="AQ52" s="73"/>
      <c r="AR52" s="92"/>
      <c r="AS52" s="275"/>
      <c r="AT52" s="423" t="s">
        <v>397</v>
      </c>
    </row>
    <row r="53" spans="1:46" s="280" customFormat="1" ht="15.75" customHeight="1">
      <c r="A53" s="67" t="s">
        <v>138</v>
      </c>
      <c r="B53" s="68" t="s">
        <v>72</v>
      </c>
      <c r="C53" s="69"/>
      <c r="D53" s="70" t="s">
        <v>38</v>
      </c>
      <c r="E53" s="71" t="s">
        <v>38</v>
      </c>
      <c r="F53" s="70" t="s">
        <v>38</v>
      </c>
      <c r="G53" s="387">
        <v>67</v>
      </c>
      <c r="H53" s="72">
        <v>10</v>
      </c>
      <c r="I53" s="73" t="s">
        <v>314</v>
      </c>
      <c r="J53" s="74">
        <v>10</v>
      </c>
      <c r="K53" s="73"/>
      <c r="L53" s="239" t="s">
        <v>275</v>
      </c>
      <c r="M53" s="76"/>
      <c r="N53" s="77"/>
      <c r="O53" s="78"/>
      <c r="P53" s="79"/>
      <c r="Q53" s="80"/>
      <c r="R53" s="81"/>
      <c r="S53" s="68"/>
      <c r="T53" s="283"/>
      <c r="U53" s="83" t="s">
        <v>39</v>
      </c>
      <c r="V53" s="84">
        <v>0.9</v>
      </c>
      <c r="W53" s="85"/>
      <c r="X53" s="80"/>
      <c r="Y53" s="86"/>
      <c r="Z53" s="85"/>
      <c r="AA53" s="80"/>
      <c r="AB53" s="86">
        <v>0.47399999999999998</v>
      </c>
      <c r="AC53" s="85"/>
      <c r="AD53" s="87"/>
      <c r="AE53" s="68" t="s">
        <v>92</v>
      </c>
      <c r="AF53" s="88">
        <v>0.97</v>
      </c>
      <c r="AG53" s="89"/>
      <c r="AH53" s="90"/>
      <c r="AI53" s="88"/>
      <c r="AJ53" s="89"/>
      <c r="AK53" s="90"/>
      <c r="AL53" s="88">
        <v>0.22</v>
      </c>
      <c r="AM53" s="89"/>
      <c r="AN53" s="90"/>
      <c r="AO53" s="246"/>
      <c r="AP53" s="91"/>
      <c r="AQ53" s="73"/>
      <c r="AR53" s="92"/>
      <c r="AS53" s="284" t="s">
        <v>392</v>
      </c>
      <c r="AT53" s="423" t="s">
        <v>397</v>
      </c>
    </row>
    <row r="54" spans="1:46" s="280" customFormat="1" ht="15.75" customHeight="1">
      <c r="A54" s="67" t="s">
        <v>139</v>
      </c>
      <c r="B54" s="68"/>
      <c r="C54" s="69"/>
      <c r="D54" s="70" t="s">
        <v>38</v>
      </c>
      <c r="E54" s="71" t="s">
        <v>38</v>
      </c>
      <c r="F54" s="70" t="s">
        <v>38</v>
      </c>
      <c r="G54" s="387">
        <v>67</v>
      </c>
      <c r="H54" s="72">
        <v>10</v>
      </c>
      <c r="I54" s="73" t="s">
        <v>314</v>
      </c>
      <c r="J54" s="74">
        <v>10</v>
      </c>
      <c r="K54" s="73"/>
      <c r="L54" s="239" t="s">
        <v>275</v>
      </c>
      <c r="M54" s="76"/>
      <c r="N54" s="77"/>
      <c r="O54" s="78"/>
      <c r="P54" s="79"/>
      <c r="Q54" s="80"/>
      <c r="R54" s="81"/>
      <c r="S54" s="68"/>
      <c r="T54" s="283" t="s">
        <v>96</v>
      </c>
      <c r="U54" s="83"/>
      <c r="V54" s="84">
        <f>1/1.11</f>
        <v>0.9009009009009008</v>
      </c>
      <c r="W54" s="85"/>
      <c r="X54" s="80"/>
      <c r="Y54" s="86">
        <f>1/1.12</f>
        <v>0.89285714285714279</v>
      </c>
      <c r="Z54" s="85"/>
      <c r="AA54" s="80"/>
      <c r="AB54" s="86">
        <f>1/2.11</f>
        <v>0.47393364928909953</v>
      </c>
      <c r="AC54" s="85"/>
      <c r="AD54" s="87"/>
      <c r="AE54" s="68"/>
      <c r="AF54" s="88">
        <v>0.25</v>
      </c>
      <c r="AG54" s="89"/>
      <c r="AH54" s="90"/>
      <c r="AI54" s="88">
        <v>0.25</v>
      </c>
      <c r="AJ54" s="89"/>
      <c r="AK54" s="90"/>
      <c r="AL54" s="88">
        <v>0.27</v>
      </c>
      <c r="AM54" s="89"/>
      <c r="AN54" s="90"/>
      <c r="AO54" s="246"/>
      <c r="AP54" s="91"/>
      <c r="AQ54" s="73"/>
      <c r="AR54" s="92"/>
      <c r="AS54" s="284" t="s">
        <v>392</v>
      </c>
      <c r="AT54" s="423" t="s">
        <v>397</v>
      </c>
    </row>
    <row r="55" spans="1:46" s="280" customFormat="1" ht="15.75" customHeight="1">
      <c r="A55" s="67" t="s">
        <v>140</v>
      </c>
      <c r="B55" s="68"/>
      <c r="C55" s="69"/>
      <c r="D55" s="70" t="s">
        <v>38</v>
      </c>
      <c r="E55" s="71" t="s">
        <v>38</v>
      </c>
      <c r="F55" s="70" t="s">
        <v>38</v>
      </c>
      <c r="G55" s="387">
        <v>62.6</v>
      </c>
      <c r="H55" s="72">
        <v>9.6999999999999993</v>
      </c>
      <c r="I55" s="73" t="s">
        <v>314</v>
      </c>
      <c r="J55" s="74">
        <v>9.6999999999999993</v>
      </c>
      <c r="K55" s="73"/>
      <c r="L55" s="239" t="s">
        <v>275</v>
      </c>
      <c r="M55" s="76"/>
      <c r="N55" s="77"/>
      <c r="O55" s="78"/>
      <c r="P55" s="79"/>
      <c r="Q55" s="80"/>
      <c r="R55" s="81"/>
      <c r="S55" s="68"/>
      <c r="T55" s="283" t="s">
        <v>83</v>
      </c>
      <c r="U55" s="83"/>
      <c r="V55" s="84">
        <f>1/1.25</f>
        <v>0.8</v>
      </c>
      <c r="W55" s="85"/>
      <c r="X55" s="80"/>
      <c r="Y55" s="86"/>
      <c r="Z55" s="85"/>
      <c r="AA55" s="80"/>
      <c r="AB55" s="86"/>
      <c r="AC55" s="85"/>
      <c r="AD55" s="87"/>
      <c r="AE55" s="68"/>
      <c r="AF55" s="88">
        <v>0.08</v>
      </c>
      <c r="AG55" s="89"/>
      <c r="AH55" s="90"/>
      <c r="AI55" s="88"/>
      <c r="AJ55" s="89"/>
      <c r="AK55" s="90"/>
      <c r="AL55" s="88"/>
      <c r="AM55" s="89"/>
      <c r="AN55" s="90"/>
      <c r="AO55" s="246"/>
      <c r="AP55" s="91"/>
      <c r="AQ55" s="73"/>
      <c r="AR55" s="92"/>
      <c r="AS55" s="284" t="s">
        <v>249</v>
      </c>
      <c r="AT55" s="423" t="s">
        <v>397</v>
      </c>
    </row>
    <row r="56" spans="1:46" ht="15.75" customHeight="1">
      <c r="A56" s="67" t="s">
        <v>141</v>
      </c>
      <c r="B56" s="68"/>
      <c r="C56" s="69"/>
      <c r="D56" s="218" t="s">
        <v>12</v>
      </c>
      <c r="E56" s="218" t="s">
        <v>12</v>
      </c>
      <c r="F56" s="219" t="s">
        <v>12</v>
      </c>
      <c r="G56" s="387">
        <v>62.5</v>
      </c>
      <c r="H56" s="72">
        <v>9.6999999999999993</v>
      </c>
      <c r="I56" s="73" t="s">
        <v>314</v>
      </c>
      <c r="J56" s="74">
        <v>9.6999999999999993</v>
      </c>
      <c r="K56" s="73"/>
      <c r="L56" s="239" t="s">
        <v>275</v>
      </c>
      <c r="M56" s="76"/>
      <c r="N56" s="152"/>
      <c r="O56" s="95"/>
      <c r="P56" s="79"/>
      <c r="Q56" s="80"/>
      <c r="R56" s="81"/>
      <c r="S56" s="68" t="s">
        <v>12</v>
      </c>
      <c r="T56" s="82"/>
      <c r="U56" s="83"/>
      <c r="V56" s="84">
        <v>0.8</v>
      </c>
      <c r="W56" s="85" t="s">
        <v>12</v>
      </c>
      <c r="X56" s="80" t="s">
        <v>12</v>
      </c>
      <c r="Y56" s="86" t="s">
        <v>12</v>
      </c>
      <c r="Z56" s="85" t="s">
        <v>12</v>
      </c>
      <c r="AA56" s="80" t="s">
        <v>12</v>
      </c>
      <c r="AB56" s="86" t="s">
        <v>12</v>
      </c>
      <c r="AC56" s="85" t="s">
        <v>12</v>
      </c>
      <c r="AD56" s="87" t="s">
        <v>12</v>
      </c>
      <c r="AE56" s="68" t="s">
        <v>91</v>
      </c>
      <c r="AF56" s="88">
        <v>0.5</v>
      </c>
      <c r="AG56" s="89" t="s">
        <v>12</v>
      </c>
      <c r="AH56" s="90" t="s">
        <v>12</v>
      </c>
      <c r="AI56" s="88" t="s">
        <v>12</v>
      </c>
      <c r="AJ56" s="89" t="s">
        <v>12</v>
      </c>
      <c r="AK56" s="90" t="s">
        <v>12</v>
      </c>
      <c r="AL56" s="88" t="s">
        <v>12</v>
      </c>
      <c r="AM56" s="89" t="s">
        <v>12</v>
      </c>
      <c r="AN56" s="90" t="s">
        <v>12</v>
      </c>
      <c r="AO56" s="246"/>
      <c r="AP56" s="91"/>
      <c r="AQ56" s="73"/>
      <c r="AR56" s="92"/>
      <c r="AS56" s="275"/>
      <c r="AT56" s="423" t="s">
        <v>397</v>
      </c>
    </row>
    <row r="57" spans="1:46" s="280" customFormat="1" ht="15.75" customHeight="1">
      <c r="A57" s="67" t="s">
        <v>142</v>
      </c>
      <c r="B57" s="68"/>
      <c r="C57" s="69"/>
      <c r="D57" s="70" t="s">
        <v>38</v>
      </c>
      <c r="E57" s="71" t="s">
        <v>38</v>
      </c>
      <c r="F57" s="70" t="s">
        <v>38</v>
      </c>
      <c r="G57" s="387">
        <v>62.5</v>
      </c>
      <c r="H57" s="72">
        <v>9.6999999999999993</v>
      </c>
      <c r="I57" s="73" t="s">
        <v>314</v>
      </c>
      <c r="J57" s="74">
        <v>9.6999999999999993</v>
      </c>
      <c r="K57" s="73"/>
      <c r="L57" s="239" t="s">
        <v>275</v>
      </c>
      <c r="M57" s="76"/>
      <c r="N57" s="77"/>
      <c r="O57" s="78"/>
      <c r="P57" s="79"/>
      <c r="Q57" s="80"/>
      <c r="R57" s="81"/>
      <c r="S57" s="68"/>
      <c r="T57" s="283" t="s">
        <v>83</v>
      </c>
      <c r="U57" s="83" t="s">
        <v>41</v>
      </c>
      <c r="V57" s="84">
        <v>0.8</v>
      </c>
      <c r="W57" s="85"/>
      <c r="X57" s="80"/>
      <c r="Y57" s="86"/>
      <c r="Z57" s="85"/>
      <c r="AA57" s="80"/>
      <c r="AB57" s="86"/>
      <c r="AC57" s="85"/>
      <c r="AD57" s="87"/>
      <c r="AE57" s="68"/>
      <c r="AF57" s="88">
        <v>0.496</v>
      </c>
      <c r="AG57" s="89"/>
      <c r="AH57" s="90"/>
      <c r="AI57" s="88"/>
      <c r="AJ57" s="89"/>
      <c r="AK57" s="90"/>
      <c r="AL57" s="88"/>
      <c r="AM57" s="89"/>
      <c r="AN57" s="90"/>
      <c r="AO57" s="246" t="s">
        <v>291</v>
      </c>
      <c r="AP57" s="91">
        <v>35300000</v>
      </c>
      <c r="AQ57" s="73">
        <v>21000000</v>
      </c>
      <c r="AR57" s="92"/>
      <c r="AS57" s="279" t="s">
        <v>391</v>
      </c>
      <c r="AT57" s="423" t="s">
        <v>397</v>
      </c>
    </row>
    <row r="58" spans="1:46" s="280" customFormat="1" ht="15.75" customHeight="1">
      <c r="A58" s="67" t="s">
        <v>143</v>
      </c>
      <c r="B58" s="68"/>
      <c r="C58" s="69"/>
      <c r="D58" s="70" t="s">
        <v>38</v>
      </c>
      <c r="E58" s="71" t="s">
        <v>38</v>
      </c>
      <c r="F58" s="70" t="s">
        <v>38</v>
      </c>
      <c r="G58" s="387">
        <v>62</v>
      </c>
      <c r="H58" s="72">
        <v>5.63</v>
      </c>
      <c r="I58" s="73" t="s">
        <v>314</v>
      </c>
      <c r="J58" s="74">
        <v>5.63</v>
      </c>
      <c r="K58" s="73"/>
      <c r="L58" s="239" t="s">
        <v>278</v>
      </c>
      <c r="M58" s="76"/>
      <c r="N58" s="77"/>
      <c r="O58" s="78"/>
      <c r="P58" s="79"/>
      <c r="Q58" s="80"/>
      <c r="R58" s="81"/>
      <c r="S58" s="68"/>
      <c r="T58" s="283" t="s">
        <v>96</v>
      </c>
      <c r="U58" s="83" t="s">
        <v>44</v>
      </c>
      <c r="V58" s="84">
        <v>0.69</v>
      </c>
      <c r="W58" s="85"/>
      <c r="X58" s="80"/>
      <c r="Y58" s="86"/>
      <c r="Z58" s="85"/>
      <c r="AA58" s="80"/>
      <c r="AB58" s="86">
        <v>0.24</v>
      </c>
      <c r="AC58" s="85"/>
      <c r="AD58" s="87"/>
      <c r="AE58" s="68"/>
      <c r="AF58" s="88">
        <v>0.50900000000000001</v>
      </c>
      <c r="AG58" s="89"/>
      <c r="AH58" s="90"/>
      <c r="AI58" s="88"/>
      <c r="AJ58" s="89"/>
      <c r="AK58" s="90"/>
      <c r="AL58" s="88">
        <v>0.17499999999999999</v>
      </c>
      <c r="AM58" s="89"/>
      <c r="AN58" s="90"/>
      <c r="AO58" s="246"/>
      <c r="AP58" s="91"/>
      <c r="AQ58" s="73"/>
      <c r="AR58" s="92"/>
      <c r="AS58" s="279" t="s">
        <v>391</v>
      </c>
      <c r="AT58" s="423" t="s">
        <v>397</v>
      </c>
    </row>
    <row r="59" spans="1:46" s="280" customFormat="1" ht="15.75" customHeight="1">
      <c r="A59" s="67" t="s">
        <v>144</v>
      </c>
      <c r="B59" s="68"/>
      <c r="C59" s="69"/>
      <c r="D59" s="70" t="s">
        <v>38</v>
      </c>
      <c r="E59" s="71" t="s">
        <v>38</v>
      </c>
      <c r="F59" s="70" t="s">
        <v>38</v>
      </c>
      <c r="G59" s="387">
        <v>62</v>
      </c>
      <c r="H59" s="72">
        <v>5.6</v>
      </c>
      <c r="I59" s="73" t="s">
        <v>314</v>
      </c>
      <c r="J59" s="74">
        <v>5.6</v>
      </c>
      <c r="K59" s="73"/>
      <c r="L59" s="239" t="s">
        <v>275</v>
      </c>
      <c r="M59" s="76"/>
      <c r="N59" s="77"/>
      <c r="O59" s="78"/>
      <c r="P59" s="79"/>
      <c r="Q59" s="80"/>
      <c r="R59" s="81"/>
      <c r="S59" s="68"/>
      <c r="T59" s="283" t="s">
        <v>96</v>
      </c>
      <c r="U59" s="83"/>
      <c r="V59" s="84">
        <f>1/1.45</f>
        <v>0.68965517241379315</v>
      </c>
      <c r="W59" s="85"/>
      <c r="X59" s="80"/>
      <c r="Y59" s="86"/>
      <c r="Z59" s="85"/>
      <c r="AA59" s="80"/>
      <c r="AB59" s="86">
        <f>1/4.17</f>
        <v>0.23980815347721823</v>
      </c>
      <c r="AC59" s="85"/>
      <c r="AD59" s="87"/>
      <c r="AE59" s="68"/>
      <c r="AF59" s="88">
        <v>0.08</v>
      </c>
      <c r="AG59" s="89"/>
      <c r="AH59" s="90"/>
      <c r="AI59" s="88">
        <v>0.03</v>
      </c>
      <c r="AJ59" s="89"/>
      <c r="AK59" s="90"/>
      <c r="AL59" s="88"/>
      <c r="AM59" s="89"/>
      <c r="AN59" s="90"/>
      <c r="AO59" s="246"/>
      <c r="AP59" s="91"/>
      <c r="AQ59" s="73"/>
      <c r="AR59" s="92"/>
      <c r="AS59" s="279" t="s">
        <v>391</v>
      </c>
      <c r="AT59" s="423" t="s">
        <v>397</v>
      </c>
    </row>
    <row r="60" spans="1:46" ht="15.75" customHeight="1">
      <c r="A60" s="157" t="s">
        <v>145</v>
      </c>
      <c r="B60" s="158"/>
      <c r="C60" s="159"/>
      <c r="D60" s="224"/>
      <c r="E60" s="224"/>
      <c r="F60" s="225"/>
      <c r="G60" s="386">
        <v>59.7</v>
      </c>
      <c r="H60" s="162"/>
      <c r="I60" s="163"/>
      <c r="J60" s="164"/>
      <c r="K60" s="163"/>
      <c r="L60" s="240" t="s">
        <v>275</v>
      </c>
      <c r="M60" s="166"/>
      <c r="N60" s="197"/>
      <c r="O60" s="198"/>
      <c r="P60" s="169"/>
      <c r="Q60" s="170"/>
      <c r="R60" s="171"/>
      <c r="S60" s="172">
        <v>1</v>
      </c>
      <c r="T60" s="9" t="s">
        <v>83</v>
      </c>
      <c r="U60" s="173"/>
      <c r="V60" s="174">
        <f>1/1.7</f>
        <v>0.58823529411764708</v>
      </c>
      <c r="W60" s="175">
        <f>1/4.4</f>
        <v>0.22727272727272727</v>
      </c>
      <c r="X60" s="176" t="s">
        <v>99</v>
      </c>
      <c r="Y60" s="174">
        <f>1/1.9</f>
        <v>0.52631578947368418</v>
      </c>
      <c r="Z60" s="175">
        <f>1/5.2</f>
        <v>0.19230769230769229</v>
      </c>
      <c r="AA60" s="176" t="s">
        <v>99</v>
      </c>
      <c r="AB60" s="175" t="s">
        <v>99</v>
      </c>
      <c r="AC60" s="175" t="s">
        <v>99</v>
      </c>
      <c r="AD60" s="315" t="s">
        <v>99</v>
      </c>
      <c r="AE60" s="172"/>
      <c r="AF60" s="179">
        <v>2.15</v>
      </c>
      <c r="AG60" s="277" t="s">
        <v>99</v>
      </c>
      <c r="AH60" s="180" t="s">
        <v>99</v>
      </c>
      <c r="AI60" s="179">
        <v>2.1</v>
      </c>
      <c r="AJ60" s="277" t="s">
        <v>99</v>
      </c>
      <c r="AK60" s="180" t="s">
        <v>99</v>
      </c>
      <c r="AL60" s="277" t="s">
        <v>99</v>
      </c>
      <c r="AM60" s="277" t="s">
        <v>99</v>
      </c>
      <c r="AN60" s="180" t="s">
        <v>99</v>
      </c>
      <c r="AO60" s="371" t="s">
        <v>292</v>
      </c>
      <c r="AP60" s="181"/>
      <c r="AQ60" s="182"/>
      <c r="AR60" s="112" t="s">
        <v>99</v>
      </c>
      <c r="AS60" s="285" t="s">
        <v>393</v>
      </c>
      <c r="AT60" s="421"/>
    </row>
    <row r="61" spans="1:46" ht="15.75" customHeight="1">
      <c r="A61" s="38"/>
      <c r="B61" s="39"/>
      <c r="C61" s="40"/>
      <c r="D61" s="218"/>
      <c r="E61" s="218"/>
      <c r="F61" s="219"/>
      <c r="G61" s="385"/>
      <c r="H61" s="43"/>
      <c r="I61" s="44"/>
      <c r="J61" s="45"/>
      <c r="K61" s="44"/>
      <c r="L61" s="238"/>
      <c r="M61" s="47"/>
      <c r="N61" s="316"/>
      <c r="O61" s="317"/>
      <c r="P61" s="50"/>
      <c r="Q61" s="51"/>
      <c r="R61" s="52"/>
      <c r="S61" s="53">
        <v>2</v>
      </c>
      <c r="T61" s="149" t="s">
        <v>83</v>
      </c>
      <c r="U61" s="156"/>
      <c r="V61" s="151">
        <f>1/2.05</f>
        <v>0.48780487804878053</v>
      </c>
      <c r="W61" s="139">
        <f>1/4.2</f>
        <v>0.23809523809523808</v>
      </c>
      <c r="X61" s="140" t="s">
        <v>99</v>
      </c>
      <c r="Y61" s="151">
        <f>1/2.2</f>
        <v>0.45454545454545453</v>
      </c>
      <c r="Z61" s="139">
        <f>1/4.8</f>
        <v>0.20833333333333334</v>
      </c>
      <c r="AA61" s="140" t="s">
        <v>99</v>
      </c>
      <c r="AB61" s="139" t="s">
        <v>99</v>
      </c>
      <c r="AC61" s="139" t="s">
        <v>99</v>
      </c>
      <c r="AD61" s="318" t="s">
        <v>99</v>
      </c>
      <c r="AE61" s="53"/>
      <c r="AF61" s="59">
        <v>1.75</v>
      </c>
      <c r="AG61" s="60" t="s">
        <v>99</v>
      </c>
      <c r="AH61" s="189" t="s">
        <v>99</v>
      </c>
      <c r="AI61" s="59">
        <v>1.4</v>
      </c>
      <c r="AJ61" s="60" t="s">
        <v>99</v>
      </c>
      <c r="AK61" s="189" t="s">
        <v>99</v>
      </c>
      <c r="AL61" s="60" t="s">
        <v>99</v>
      </c>
      <c r="AM61" s="60" t="s">
        <v>99</v>
      </c>
      <c r="AN61" s="189" t="s">
        <v>99</v>
      </c>
      <c r="AO61" s="372" t="s">
        <v>292</v>
      </c>
      <c r="AP61" s="62"/>
      <c r="AQ61" s="63"/>
      <c r="AR61" s="64" t="s">
        <v>99</v>
      </c>
      <c r="AS61" s="319" t="s">
        <v>394</v>
      </c>
      <c r="AT61" s="422"/>
    </row>
    <row r="62" spans="1:46" ht="15.75" customHeight="1">
      <c r="A62" s="157" t="s">
        <v>146</v>
      </c>
      <c r="B62" s="158"/>
      <c r="C62" s="159"/>
      <c r="D62" s="160" t="s">
        <v>45</v>
      </c>
      <c r="E62" s="161" t="s">
        <v>45</v>
      </c>
      <c r="F62" s="160" t="s">
        <v>45</v>
      </c>
      <c r="G62" s="386">
        <v>59.6</v>
      </c>
      <c r="H62" s="162">
        <v>11.5</v>
      </c>
      <c r="I62" s="163" t="s">
        <v>314</v>
      </c>
      <c r="J62" s="164">
        <v>11.5</v>
      </c>
      <c r="K62" s="163"/>
      <c r="L62" s="240" t="s">
        <v>275</v>
      </c>
      <c r="M62" s="166"/>
      <c r="N62" s="167"/>
      <c r="O62" s="168"/>
      <c r="P62" s="169"/>
      <c r="Q62" s="170"/>
      <c r="R62" s="171"/>
      <c r="S62" s="172">
        <v>1</v>
      </c>
      <c r="T62" s="276" t="s">
        <v>95</v>
      </c>
      <c r="U62" s="173" t="s">
        <v>43</v>
      </c>
      <c r="V62" s="174">
        <f>1/1.709</f>
        <v>0.58513750731421876</v>
      </c>
      <c r="W62" s="175">
        <f>1/4.565</f>
        <v>0.21905805038335158</v>
      </c>
      <c r="X62" s="176"/>
      <c r="Y62" s="177">
        <f>1/1.733</f>
        <v>0.57703404500865552</v>
      </c>
      <c r="Z62" s="175">
        <f>1/4.492</f>
        <v>0.22261798753339271</v>
      </c>
      <c r="AA62" s="176"/>
      <c r="AB62" s="177"/>
      <c r="AC62" s="175"/>
      <c r="AD62" s="178"/>
      <c r="AE62" s="172"/>
      <c r="AF62" s="179">
        <v>1.38</v>
      </c>
      <c r="AG62" s="277">
        <v>0.78</v>
      </c>
      <c r="AH62" s="278"/>
      <c r="AI62" s="179">
        <v>0.81</v>
      </c>
      <c r="AJ62" s="277">
        <v>0.41</v>
      </c>
      <c r="AK62" s="278"/>
      <c r="AL62" s="179"/>
      <c r="AM62" s="277"/>
      <c r="AN62" s="278"/>
      <c r="AO62" s="252"/>
      <c r="AP62" s="181"/>
      <c r="AQ62" s="182"/>
      <c r="AR62" s="112"/>
      <c r="AS62" s="285"/>
      <c r="AT62" s="421" t="s">
        <v>398</v>
      </c>
    </row>
    <row r="63" spans="1:46" s="280" customFormat="1" ht="15.75" customHeight="1">
      <c r="A63" s="38"/>
      <c r="B63" s="39"/>
      <c r="C63" s="40"/>
      <c r="D63" s="41"/>
      <c r="E63" s="42"/>
      <c r="F63" s="41"/>
      <c r="G63" s="385"/>
      <c r="H63" s="43"/>
      <c r="I63" s="44"/>
      <c r="J63" s="45"/>
      <c r="K63" s="44"/>
      <c r="L63" s="238"/>
      <c r="M63" s="47"/>
      <c r="N63" s="48"/>
      <c r="O63" s="49"/>
      <c r="P63" s="50"/>
      <c r="Q63" s="51"/>
      <c r="R63" s="52"/>
      <c r="S63" s="115">
        <v>2</v>
      </c>
      <c r="T63" s="286" t="s">
        <v>83</v>
      </c>
      <c r="U63" s="117" t="s">
        <v>43</v>
      </c>
      <c r="V63" s="118"/>
      <c r="W63" s="119"/>
      <c r="X63" s="120"/>
      <c r="Y63" s="121">
        <f>1/1.716</f>
        <v>0.58275058275058278</v>
      </c>
      <c r="Z63" s="119"/>
      <c r="AA63" s="120"/>
      <c r="AB63" s="121"/>
      <c r="AC63" s="119"/>
      <c r="AD63" s="122"/>
      <c r="AE63" s="115"/>
      <c r="AF63" s="124"/>
      <c r="AG63" s="125"/>
      <c r="AH63" s="126"/>
      <c r="AI63" s="124">
        <v>1.27</v>
      </c>
      <c r="AJ63" s="125"/>
      <c r="AK63" s="126"/>
      <c r="AL63" s="124"/>
      <c r="AM63" s="125"/>
      <c r="AN63" s="126"/>
      <c r="AO63" s="248"/>
      <c r="AP63" s="127"/>
      <c r="AQ63" s="128"/>
      <c r="AR63" s="137"/>
      <c r="AS63" s="287"/>
      <c r="AT63" s="425" t="s">
        <v>398</v>
      </c>
    </row>
    <row r="64" spans="1:46" s="280" customFormat="1" ht="15.75" customHeight="1">
      <c r="A64" s="67" t="s">
        <v>147</v>
      </c>
      <c r="B64" s="68"/>
      <c r="C64" s="69"/>
      <c r="D64" s="70" t="s">
        <v>38</v>
      </c>
      <c r="E64" s="71" t="s">
        <v>38</v>
      </c>
      <c r="F64" s="70" t="s">
        <v>38</v>
      </c>
      <c r="G64" s="387">
        <v>59.6</v>
      </c>
      <c r="H64" s="72">
        <v>11.5</v>
      </c>
      <c r="I64" s="73" t="s">
        <v>314</v>
      </c>
      <c r="J64" s="74">
        <v>11.5</v>
      </c>
      <c r="K64" s="73"/>
      <c r="L64" s="239" t="s">
        <v>275</v>
      </c>
      <c r="M64" s="76"/>
      <c r="N64" s="77"/>
      <c r="O64" s="78"/>
      <c r="P64" s="79"/>
      <c r="Q64" s="80"/>
      <c r="R64" s="81"/>
      <c r="S64" s="68"/>
      <c r="T64" s="283" t="s">
        <v>95</v>
      </c>
      <c r="U64" s="83"/>
      <c r="V64" s="84">
        <f>1/1.71</f>
        <v>0.58479532163742687</v>
      </c>
      <c r="W64" s="85">
        <f>1/4.57</f>
        <v>0.21881838074398249</v>
      </c>
      <c r="X64" s="80"/>
      <c r="Y64" s="86">
        <f>1/1.73</f>
        <v>0.5780346820809249</v>
      </c>
      <c r="Z64" s="85">
        <f>1/4.49</f>
        <v>0.22271714922048996</v>
      </c>
      <c r="AA64" s="80"/>
      <c r="AB64" s="86"/>
      <c r="AC64" s="85"/>
      <c r="AD64" s="87"/>
      <c r="AE64" s="68"/>
      <c r="AF64" s="88">
        <v>0.22</v>
      </c>
      <c r="AG64" s="89"/>
      <c r="AH64" s="90"/>
      <c r="AI64" s="88">
        <v>0.13</v>
      </c>
      <c r="AJ64" s="89"/>
      <c r="AK64" s="90"/>
      <c r="AL64" s="88"/>
      <c r="AM64" s="89"/>
      <c r="AN64" s="90"/>
      <c r="AO64" s="246"/>
      <c r="AP64" s="91"/>
      <c r="AQ64" s="73"/>
      <c r="AR64" s="92"/>
      <c r="AS64" s="279" t="s">
        <v>391</v>
      </c>
      <c r="AT64" s="423" t="s">
        <v>398</v>
      </c>
    </row>
    <row r="65" spans="1:46" s="280" customFormat="1" ht="15.75" customHeight="1">
      <c r="A65" s="157" t="s">
        <v>148</v>
      </c>
      <c r="B65" s="158"/>
      <c r="C65" s="159"/>
      <c r="D65" s="160" t="s">
        <v>38</v>
      </c>
      <c r="E65" s="161" t="s">
        <v>38</v>
      </c>
      <c r="F65" s="160" t="s">
        <v>38</v>
      </c>
      <c r="G65" s="386">
        <v>56</v>
      </c>
      <c r="H65" s="162">
        <v>14.1</v>
      </c>
      <c r="I65" s="163" t="s">
        <v>314</v>
      </c>
      <c r="J65" s="164">
        <v>14.1</v>
      </c>
      <c r="K65" s="163"/>
      <c r="L65" s="240" t="s">
        <v>275</v>
      </c>
      <c r="M65" s="166"/>
      <c r="N65" s="167"/>
      <c r="O65" s="168"/>
      <c r="P65" s="169"/>
      <c r="Q65" s="170"/>
      <c r="R65" s="171"/>
      <c r="S65" s="172"/>
      <c r="T65" s="276" t="s">
        <v>95</v>
      </c>
      <c r="U65" s="173"/>
      <c r="V65" s="174">
        <f>1/1.75</f>
        <v>0.5714285714285714</v>
      </c>
      <c r="W65" s="175">
        <f>1/5</f>
        <v>0.2</v>
      </c>
      <c r="X65" s="176"/>
      <c r="Y65" s="177">
        <f>1/1.75</f>
        <v>0.5714285714285714</v>
      </c>
      <c r="Z65" s="175">
        <f>1/5.26</f>
        <v>0.19011406844106465</v>
      </c>
      <c r="AA65" s="176"/>
      <c r="AB65" s="177"/>
      <c r="AC65" s="175"/>
      <c r="AD65" s="178"/>
      <c r="AE65" s="172"/>
      <c r="AF65" s="179">
        <v>6.2</v>
      </c>
      <c r="AG65" s="277"/>
      <c r="AH65" s="278"/>
      <c r="AI65" s="179">
        <v>5.8</v>
      </c>
      <c r="AJ65" s="277"/>
      <c r="AK65" s="278"/>
      <c r="AL65" s="179"/>
      <c r="AM65" s="277"/>
      <c r="AN65" s="278"/>
      <c r="AO65" s="252"/>
      <c r="AP65" s="181"/>
      <c r="AQ65" s="182"/>
      <c r="AR65" s="112"/>
      <c r="AS65" s="279" t="s">
        <v>391</v>
      </c>
      <c r="AT65" s="421" t="s">
        <v>397</v>
      </c>
    </row>
    <row r="66" spans="1:46" s="280" customFormat="1" ht="15.75" customHeight="1">
      <c r="A66" s="38"/>
      <c r="B66" s="39"/>
      <c r="C66" s="40"/>
      <c r="D66" s="41"/>
      <c r="E66" s="42"/>
      <c r="F66" s="41"/>
      <c r="G66" s="385"/>
      <c r="H66" s="43"/>
      <c r="I66" s="44"/>
      <c r="J66" s="45"/>
      <c r="K66" s="44"/>
      <c r="L66" s="238"/>
      <c r="M66" s="47"/>
      <c r="N66" s="48"/>
      <c r="O66" s="49"/>
      <c r="P66" s="50"/>
      <c r="Q66" s="51"/>
      <c r="R66" s="52"/>
      <c r="S66" s="53"/>
      <c r="T66" s="281" t="s">
        <v>95</v>
      </c>
      <c r="U66" s="156"/>
      <c r="V66" s="151">
        <f>1/1.72</f>
        <v>0.58139534883720934</v>
      </c>
      <c r="W66" s="139">
        <f>1/4.17</f>
        <v>0.23980815347721823</v>
      </c>
      <c r="X66" s="140"/>
      <c r="Y66" s="141">
        <f>1/2.08</f>
        <v>0.48076923076923073</v>
      </c>
      <c r="Z66" s="139">
        <f>1/4.17</f>
        <v>0.23980815347721823</v>
      </c>
      <c r="AA66" s="140"/>
      <c r="AB66" s="141"/>
      <c r="AC66" s="139"/>
      <c r="AD66" s="142"/>
      <c r="AE66" s="53"/>
      <c r="AF66" s="59"/>
      <c r="AG66" s="60"/>
      <c r="AH66" s="61"/>
      <c r="AI66" s="59">
        <v>0.5</v>
      </c>
      <c r="AJ66" s="60"/>
      <c r="AK66" s="61"/>
      <c r="AL66" s="59"/>
      <c r="AM66" s="60"/>
      <c r="AN66" s="61"/>
      <c r="AO66" s="245"/>
      <c r="AP66" s="62"/>
      <c r="AQ66" s="63"/>
      <c r="AR66" s="64"/>
      <c r="AS66" s="282"/>
      <c r="AT66" s="422" t="s">
        <v>398</v>
      </c>
    </row>
    <row r="67" spans="1:46" s="280" customFormat="1" ht="15.75" customHeight="1">
      <c r="A67" s="304" t="s">
        <v>149</v>
      </c>
      <c r="B67" s="172"/>
      <c r="C67" s="305"/>
      <c r="D67" s="306" t="s">
        <v>38</v>
      </c>
      <c r="E67" s="307" t="s">
        <v>38</v>
      </c>
      <c r="F67" s="306" t="s">
        <v>38</v>
      </c>
      <c r="G67" s="389">
        <v>51.2</v>
      </c>
      <c r="H67" s="308">
        <v>6.3570000000000002</v>
      </c>
      <c r="I67" s="182" t="s">
        <v>314</v>
      </c>
      <c r="J67" s="309">
        <v>6.3570000000000002</v>
      </c>
      <c r="K67" s="182"/>
      <c r="L67" s="348" t="s">
        <v>282</v>
      </c>
      <c r="M67" s="310"/>
      <c r="N67" s="311"/>
      <c r="O67" s="312"/>
      <c r="P67" s="313"/>
      <c r="Q67" s="176"/>
      <c r="R67" s="314"/>
      <c r="S67" s="172">
        <v>1</v>
      </c>
      <c r="T67" s="276" t="s">
        <v>96</v>
      </c>
      <c r="U67" s="173" t="s">
        <v>43</v>
      </c>
      <c r="V67" s="174">
        <v>0.69199999999999995</v>
      </c>
      <c r="W67" s="175"/>
      <c r="X67" s="176"/>
      <c r="Y67" s="177">
        <v>0.66600000000000004</v>
      </c>
      <c r="Z67" s="175"/>
      <c r="AA67" s="176"/>
      <c r="AB67" s="177"/>
      <c r="AC67" s="175"/>
      <c r="AD67" s="178"/>
      <c r="AE67" s="172"/>
      <c r="AF67" s="179">
        <v>0.8</v>
      </c>
      <c r="AG67" s="277"/>
      <c r="AH67" s="278"/>
      <c r="AI67" s="179">
        <v>0.9</v>
      </c>
      <c r="AJ67" s="277"/>
      <c r="AK67" s="278"/>
      <c r="AL67" s="179"/>
      <c r="AM67" s="277"/>
      <c r="AN67" s="278"/>
      <c r="AO67" s="252"/>
      <c r="AP67" s="181"/>
      <c r="AQ67" s="182"/>
      <c r="AR67" s="112"/>
      <c r="AS67" s="284" t="s">
        <v>392</v>
      </c>
      <c r="AT67" s="421" t="s">
        <v>397</v>
      </c>
    </row>
    <row r="68" spans="1:46" s="280" customFormat="1" ht="15.75" customHeight="1">
      <c r="A68" s="320"/>
      <c r="B68" s="115"/>
      <c r="C68" s="321"/>
      <c r="D68" s="322"/>
      <c r="E68" s="323"/>
      <c r="F68" s="322"/>
      <c r="G68" s="390"/>
      <c r="H68" s="324"/>
      <c r="I68" s="128"/>
      <c r="J68" s="325"/>
      <c r="K68" s="128"/>
      <c r="L68" s="349" t="s">
        <v>276</v>
      </c>
      <c r="M68" s="326"/>
      <c r="N68" s="327"/>
      <c r="O68" s="328"/>
      <c r="P68" s="329"/>
      <c r="Q68" s="120"/>
      <c r="R68" s="330"/>
      <c r="S68" s="115">
        <v>2</v>
      </c>
      <c r="T68" s="286" t="s">
        <v>95</v>
      </c>
      <c r="U68" s="117" t="s">
        <v>43</v>
      </c>
      <c r="V68" s="118">
        <v>0.66100000000000003</v>
      </c>
      <c r="W68" s="119"/>
      <c r="X68" s="120"/>
      <c r="Y68" s="121">
        <v>0.65</v>
      </c>
      <c r="Z68" s="119"/>
      <c r="AA68" s="120"/>
      <c r="AB68" s="121"/>
      <c r="AC68" s="119"/>
      <c r="AD68" s="122"/>
      <c r="AE68" s="115"/>
      <c r="AF68" s="124">
        <v>1.1000000000000001</v>
      </c>
      <c r="AG68" s="125"/>
      <c r="AH68" s="126"/>
      <c r="AI68" s="124">
        <v>1.1000000000000001</v>
      </c>
      <c r="AJ68" s="125"/>
      <c r="AK68" s="126"/>
      <c r="AL68" s="124"/>
      <c r="AM68" s="125"/>
      <c r="AN68" s="126"/>
      <c r="AO68" s="248"/>
      <c r="AP68" s="127"/>
      <c r="AQ68" s="128"/>
      <c r="AR68" s="137"/>
      <c r="AS68" s="287"/>
      <c r="AT68" s="425" t="s">
        <v>397</v>
      </c>
    </row>
    <row r="69" spans="1:46" ht="15.75" customHeight="1">
      <c r="A69" s="67" t="s">
        <v>150</v>
      </c>
      <c r="B69" s="68"/>
      <c r="C69" s="69"/>
      <c r="D69" s="218" t="s">
        <v>12</v>
      </c>
      <c r="E69" s="218" t="s">
        <v>12</v>
      </c>
      <c r="F69" s="219" t="s">
        <v>12</v>
      </c>
      <c r="G69" s="387">
        <v>46.5</v>
      </c>
      <c r="H69" s="72">
        <v>6.6</v>
      </c>
      <c r="I69" s="73" t="s">
        <v>314</v>
      </c>
      <c r="J69" s="74">
        <v>6.6</v>
      </c>
      <c r="K69" s="73"/>
      <c r="L69" s="239" t="s">
        <v>275</v>
      </c>
      <c r="M69" s="76"/>
      <c r="N69" s="152"/>
      <c r="O69" s="95"/>
      <c r="P69" s="79"/>
      <c r="Q69" s="80"/>
      <c r="R69" s="81"/>
      <c r="S69" s="68" t="s">
        <v>12</v>
      </c>
      <c r="T69" s="82"/>
      <c r="U69" s="83"/>
      <c r="V69" s="84">
        <v>0.3</v>
      </c>
      <c r="W69" s="85" t="s">
        <v>12</v>
      </c>
      <c r="X69" s="80" t="s">
        <v>12</v>
      </c>
      <c r="Y69" s="86" t="s">
        <v>12</v>
      </c>
      <c r="Z69" s="85" t="s">
        <v>12</v>
      </c>
      <c r="AA69" s="80" t="s">
        <v>12</v>
      </c>
      <c r="AB69" s="86">
        <v>0.31</v>
      </c>
      <c r="AC69" s="85" t="s">
        <v>12</v>
      </c>
      <c r="AD69" s="87" t="s">
        <v>12</v>
      </c>
      <c r="AE69" s="68" t="s">
        <v>91</v>
      </c>
      <c r="AF69" s="88">
        <v>0.6</v>
      </c>
      <c r="AG69" s="89" t="s">
        <v>12</v>
      </c>
      <c r="AH69" s="90" t="s">
        <v>12</v>
      </c>
      <c r="AI69" s="88" t="s">
        <v>12</v>
      </c>
      <c r="AJ69" s="89" t="s">
        <v>12</v>
      </c>
      <c r="AK69" s="90" t="s">
        <v>12</v>
      </c>
      <c r="AL69" s="88" t="s">
        <v>12</v>
      </c>
      <c r="AM69" s="89" t="s">
        <v>12</v>
      </c>
      <c r="AN69" s="90" t="s">
        <v>12</v>
      </c>
      <c r="AO69" s="246"/>
      <c r="AP69" s="91"/>
      <c r="AQ69" s="73"/>
      <c r="AR69" s="92"/>
      <c r="AS69" s="275"/>
      <c r="AT69" s="423" t="s">
        <v>397</v>
      </c>
    </row>
    <row r="70" spans="1:46" s="280" customFormat="1" ht="15.75" customHeight="1">
      <c r="A70" s="67" t="s">
        <v>151</v>
      </c>
      <c r="B70" s="68"/>
      <c r="C70" s="69"/>
      <c r="D70" s="70" t="s">
        <v>38</v>
      </c>
      <c r="E70" s="71" t="s">
        <v>38</v>
      </c>
      <c r="F70" s="70" t="s">
        <v>38</v>
      </c>
      <c r="G70" s="387">
        <v>42</v>
      </c>
      <c r="H70" s="72">
        <v>6</v>
      </c>
      <c r="I70" s="73" t="s">
        <v>314</v>
      </c>
      <c r="J70" s="74">
        <v>6</v>
      </c>
      <c r="K70" s="73"/>
      <c r="L70" s="239" t="s">
        <v>275</v>
      </c>
      <c r="M70" s="76"/>
      <c r="N70" s="77"/>
      <c r="O70" s="78"/>
      <c r="P70" s="79"/>
      <c r="Q70" s="80"/>
      <c r="R70" s="81"/>
      <c r="S70" s="68"/>
      <c r="T70" s="283" t="s">
        <v>83</v>
      </c>
      <c r="U70" s="83"/>
      <c r="V70" s="84">
        <f>1/1.72</f>
        <v>0.58139534883720934</v>
      </c>
      <c r="W70" s="85"/>
      <c r="X70" s="80"/>
      <c r="Y70" s="86">
        <f>1/2.29</f>
        <v>0.4366812227074236</v>
      </c>
      <c r="Z70" s="85"/>
      <c r="AA70" s="80"/>
      <c r="AB70" s="86"/>
      <c r="AC70" s="85"/>
      <c r="AD70" s="87"/>
      <c r="AE70" s="68"/>
      <c r="AF70" s="88">
        <v>0.5</v>
      </c>
      <c r="AG70" s="89"/>
      <c r="AH70" s="90"/>
      <c r="AI70" s="88">
        <v>0.46</v>
      </c>
      <c r="AJ70" s="89"/>
      <c r="AK70" s="90"/>
      <c r="AL70" s="88"/>
      <c r="AM70" s="89"/>
      <c r="AN70" s="90"/>
      <c r="AO70" s="246"/>
      <c r="AP70" s="91"/>
      <c r="AQ70" s="73"/>
      <c r="AR70" s="92"/>
      <c r="AS70" s="279" t="s">
        <v>391</v>
      </c>
      <c r="AT70" s="423" t="s">
        <v>398</v>
      </c>
    </row>
    <row r="71" spans="1:46" s="280" customFormat="1" ht="15.75" customHeight="1">
      <c r="A71" s="157" t="s">
        <v>152</v>
      </c>
      <c r="B71" s="158"/>
      <c r="C71" s="159"/>
      <c r="D71" s="160" t="s">
        <v>38</v>
      </c>
      <c r="E71" s="161" t="s">
        <v>38</v>
      </c>
      <c r="F71" s="160" t="s">
        <v>38</v>
      </c>
      <c r="G71" s="386">
        <v>39.700000000000003</v>
      </c>
      <c r="H71" s="162">
        <v>3.6</v>
      </c>
      <c r="I71" s="163" t="s">
        <v>314</v>
      </c>
      <c r="J71" s="164">
        <v>3.6</v>
      </c>
      <c r="K71" s="163"/>
      <c r="L71" s="240" t="s">
        <v>275</v>
      </c>
      <c r="M71" s="166"/>
      <c r="N71" s="167"/>
      <c r="O71" s="168"/>
      <c r="P71" s="169"/>
      <c r="Q71" s="170"/>
      <c r="R71" s="171"/>
      <c r="S71" s="172"/>
      <c r="T71" s="276" t="s">
        <v>83</v>
      </c>
      <c r="U71" s="173"/>
      <c r="V71" s="174">
        <f>1/1.79</f>
        <v>0.55865921787709494</v>
      </c>
      <c r="W71" s="175">
        <f>1/4.17</f>
        <v>0.23980815347721823</v>
      </c>
      <c r="X71" s="176"/>
      <c r="Y71" s="177">
        <f>1/0.41</f>
        <v>2.4390243902439024</v>
      </c>
      <c r="Z71" s="175">
        <f>1/1.72</f>
        <v>0.58139534883720934</v>
      </c>
      <c r="AA71" s="176"/>
      <c r="AB71" s="177"/>
      <c r="AC71" s="175"/>
      <c r="AD71" s="178"/>
      <c r="AE71" s="172"/>
      <c r="AF71" s="179">
        <v>0.5</v>
      </c>
      <c r="AG71" s="277"/>
      <c r="AH71" s="278"/>
      <c r="AI71" s="179">
        <v>1.4</v>
      </c>
      <c r="AJ71" s="277"/>
      <c r="AK71" s="278"/>
      <c r="AL71" s="179"/>
      <c r="AM71" s="277"/>
      <c r="AN71" s="278"/>
      <c r="AO71" s="252"/>
      <c r="AP71" s="181"/>
      <c r="AQ71" s="182"/>
      <c r="AR71" s="112"/>
      <c r="AS71" s="279" t="s">
        <v>391</v>
      </c>
      <c r="AT71" s="421" t="s">
        <v>397</v>
      </c>
    </row>
    <row r="72" spans="1:46" s="280" customFormat="1" ht="15.75" customHeight="1">
      <c r="A72" s="38"/>
      <c r="B72" s="39"/>
      <c r="C72" s="40"/>
      <c r="D72" s="41"/>
      <c r="E72" s="42"/>
      <c r="F72" s="41"/>
      <c r="G72" s="385"/>
      <c r="H72" s="43"/>
      <c r="I72" s="44"/>
      <c r="J72" s="45"/>
      <c r="K72" s="44"/>
      <c r="L72" s="238"/>
      <c r="M72" s="47"/>
      <c r="N72" s="48"/>
      <c r="O72" s="49"/>
      <c r="P72" s="50"/>
      <c r="Q72" s="51"/>
      <c r="R72" s="52"/>
      <c r="S72" s="53"/>
      <c r="T72" s="281" t="s">
        <v>95</v>
      </c>
      <c r="U72" s="156"/>
      <c r="V72" s="151">
        <f>1/1.79</f>
        <v>0.55865921787709494</v>
      </c>
      <c r="W72" s="139">
        <f>1/3.85</f>
        <v>0.25974025974025972</v>
      </c>
      <c r="X72" s="140"/>
      <c r="Y72" s="141">
        <f>1/0.42</f>
        <v>2.3809523809523809</v>
      </c>
      <c r="Z72" s="139">
        <f>1/1.79</f>
        <v>0.55865921787709494</v>
      </c>
      <c r="AA72" s="140"/>
      <c r="AB72" s="141"/>
      <c r="AC72" s="139"/>
      <c r="AD72" s="142"/>
      <c r="AE72" s="53"/>
      <c r="AF72" s="59">
        <v>0.8</v>
      </c>
      <c r="AG72" s="60"/>
      <c r="AH72" s="61"/>
      <c r="AI72" s="59">
        <v>1</v>
      </c>
      <c r="AJ72" s="60"/>
      <c r="AK72" s="61"/>
      <c r="AL72" s="59"/>
      <c r="AM72" s="60"/>
      <c r="AN72" s="61"/>
      <c r="AO72" s="245"/>
      <c r="AP72" s="62"/>
      <c r="AQ72" s="63"/>
      <c r="AR72" s="64"/>
      <c r="AS72" s="282"/>
      <c r="AT72" s="422" t="s">
        <v>397</v>
      </c>
    </row>
    <row r="73" spans="1:46" ht="15.75" customHeight="1">
      <c r="A73" s="67" t="s">
        <v>153</v>
      </c>
      <c r="B73" s="68"/>
      <c r="C73" s="69"/>
      <c r="D73" s="218" t="s">
        <v>12</v>
      </c>
      <c r="E73" s="218" t="s">
        <v>12</v>
      </c>
      <c r="F73" s="219" t="s">
        <v>12</v>
      </c>
      <c r="G73" s="387">
        <v>39.6</v>
      </c>
      <c r="H73" s="72">
        <v>6</v>
      </c>
      <c r="I73" s="73" t="s">
        <v>314</v>
      </c>
      <c r="J73" s="74">
        <v>6</v>
      </c>
      <c r="K73" s="73"/>
      <c r="L73" s="239" t="s">
        <v>275</v>
      </c>
      <c r="M73" s="76"/>
      <c r="N73" s="152"/>
      <c r="O73" s="95"/>
      <c r="P73" s="79"/>
      <c r="Q73" s="80"/>
      <c r="R73" s="81"/>
      <c r="S73" s="68" t="s">
        <v>12</v>
      </c>
      <c r="T73" s="82"/>
      <c r="U73" s="83"/>
      <c r="V73" s="84">
        <v>0.4</v>
      </c>
      <c r="W73" s="85" t="s">
        <v>12</v>
      </c>
      <c r="X73" s="80" t="s">
        <v>12</v>
      </c>
      <c r="Y73" s="86" t="s">
        <v>12</v>
      </c>
      <c r="Z73" s="85" t="s">
        <v>12</v>
      </c>
      <c r="AA73" s="80" t="s">
        <v>12</v>
      </c>
      <c r="AB73" s="86">
        <v>0.16</v>
      </c>
      <c r="AC73" s="85" t="s">
        <v>12</v>
      </c>
      <c r="AD73" s="87" t="s">
        <v>12</v>
      </c>
      <c r="AE73" s="68" t="s">
        <v>91</v>
      </c>
      <c r="AF73" s="88">
        <v>1.2</v>
      </c>
      <c r="AG73" s="89" t="s">
        <v>12</v>
      </c>
      <c r="AH73" s="90" t="s">
        <v>12</v>
      </c>
      <c r="AI73" s="88" t="s">
        <v>12</v>
      </c>
      <c r="AJ73" s="89" t="s">
        <v>12</v>
      </c>
      <c r="AK73" s="90" t="s">
        <v>12</v>
      </c>
      <c r="AL73" s="88" t="s">
        <v>12</v>
      </c>
      <c r="AM73" s="89" t="s">
        <v>12</v>
      </c>
      <c r="AN73" s="90" t="s">
        <v>12</v>
      </c>
      <c r="AO73" s="246"/>
      <c r="AP73" s="91"/>
      <c r="AQ73" s="73"/>
      <c r="AR73" s="92"/>
      <c r="AS73" s="275"/>
      <c r="AT73" s="423" t="s">
        <v>397</v>
      </c>
    </row>
    <row r="74" spans="1:46" s="280" customFormat="1" ht="15.75" customHeight="1">
      <c r="A74" s="67" t="s">
        <v>154</v>
      </c>
      <c r="B74" s="68"/>
      <c r="C74" s="69"/>
      <c r="D74" s="70" t="s">
        <v>38</v>
      </c>
      <c r="E74" s="71" t="s">
        <v>38</v>
      </c>
      <c r="F74" s="70" t="s">
        <v>38</v>
      </c>
      <c r="G74" s="387">
        <v>39.6</v>
      </c>
      <c r="H74" s="72">
        <v>6</v>
      </c>
      <c r="I74" s="73" t="s">
        <v>314</v>
      </c>
      <c r="J74" s="74">
        <v>6</v>
      </c>
      <c r="K74" s="73"/>
      <c r="L74" s="239" t="s">
        <v>275</v>
      </c>
      <c r="M74" s="76"/>
      <c r="N74" s="77"/>
      <c r="O74" s="78"/>
      <c r="P74" s="79"/>
      <c r="Q74" s="80"/>
      <c r="R74" s="81"/>
      <c r="S74" s="68"/>
      <c r="T74" s="283"/>
      <c r="U74" s="83"/>
      <c r="V74" s="84">
        <v>0.30299999999999999</v>
      </c>
      <c r="W74" s="85"/>
      <c r="X74" s="80"/>
      <c r="Y74" s="86"/>
      <c r="Z74" s="85"/>
      <c r="AA74" s="80"/>
      <c r="AB74" s="86"/>
      <c r="AC74" s="85"/>
      <c r="AD74" s="87"/>
      <c r="AE74" s="68"/>
      <c r="AF74" s="88">
        <v>0.62</v>
      </c>
      <c r="AG74" s="89"/>
      <c r="AH74" s="90"/>
      <c r="AI74" s="88"/>
      <c r="AJ74" s="89"/>
      <c r="AK74" s="90"/>
      <c r="AL74" s="88"/>
      <c r="AM74" s="89"/>
      <c r="AN74" s="90"/>
      <c r="AO74" s="246"/>
      <c r="AP74" s="91"/>
      <c r="AQ74" s="73"/>
      <c r="AR74" s="92"/>
      <c r="AS74" s="288" t="s">
        <v>250</v>
      </c>
      <c r="AT74" s="423" t="s">
        <v>397</v>
      </c>
    </row>
    <row r="75" spans="1:46" s="280" customFormat="1" ht="15.75" customHeight="1">
      <c r="A75" s="157" t="s">
        <v>155</v>
      </c>
      <c r="B75" s="158"/>
      <c r="C75" s="159"/>
      <c r="D75" s="160" t="s">
        <v>38</v>
      </c>
      <c r="E75" s="161" t="s">
        <v>38</v>
      </c>
      <c r="F75" s="160" t="s">
        <v>38</v>
      </c>
      <c r="G75" s="386">
        <v>39.6</v>
      </c>
      <c r="H75" s="162">
        <v>6</v>
      </c>
      <c r="I75" s="163" t="s">
        <v>314</v>
      </c>
      <c r="J75" s="164">
        <v>6</v>
      </c>
      <c r="K75" s="163"/>
      <c r="L75" s="240" t="s">
        <v>275</v>
      </c>
      <c r="M75" s="166"/>
      <c r="N75" s="167"/>
      <c r="O75" s="168"/>
      <c r="P75" s="169"/>
      <c r="Q75" s="170"/>
      <c r="R75" s="171"/>
      <c r="S75" s="172"/>
      <c r="T75" s="276"/>
      <c r="U75" s="173"/>
      <c r="V75" s="174"/>
      <c r="W75" s="175"/>
      <c r="X75" s="176"/>
      <c r="Y75" s="177">
        <f>1/2.5</f>
        <v>0.4</v>
      </c>
      <c r="Z75" s="175"/>
      <c r="AA75" s="176"/>
      <c r="AB75" s="177">
        <v>6.3</v>
      </c>
      <c r="AC75" s="175"/>
      <c r="AD75" s="178"/>
      <c r="AE75" s="172"/>
      <c r="AF75" s="179"/>
      <c r="AG75" s="277"/>
      <c r="AH75" s="278"/>
      <c r="AI75" s="179">
        <v>1.23</v>
      </c>
      <c r="AJ75" s="277"/>
      <c r="AK75" s="278"/>
      <c r="AL75" s="179">
        <v>2.86</v>
      </c>
      <c r="AM75" s="277"/>
      <c r="AN75" s="278"/>
      <c r="AO75" s="252"/>
      <c r="AP75" s="181"/>
      <c r="AQ75" s="182"/>
      <c r="AR75" s="112"/>
      <c r="AS75" s="279" t="s">
        <v>250</v>
      </c>
      <c r="AT75" s="421" t="s">
        <v>397</v>
      </c>
    </row>
    <row r="76" spans="1:46" s="280" customFormat="1" ht="15.75" customHeight="1">
      <c r="A76" s="38"/>
      <c r="B76" s="39"/>
      <c r="C76" s="40"/>
      <c r="D76" s="41"/>
      <c r="E76" s="42"/>
      <c r="F76" s="41"/>
      <c r="G76" s="385"/>
      <c r="H76" s="43"/>
      <c r="I76" s="44"/>
      <c r="J76" s="45"/>
      <c r="K76" s="44"/>
      <c r="L76" s="238"/>
      <c r="M76" s="47"/>
      <c r="N76" s="48"/>
      <c r="O76" s="49"/>
      <c r="P76" s="50"/>
      <c r="Q76" s="51"/>
      <c r="R76" s="52"/>
      <c r="S76" s="53"/>
      <c r="T76" s="281"/>
      <c r="U76" s="156"/>
      <c r="V76" s="151"/>
      <c r="W76" s="139"/>
      <c r="X76" s="140"/>
      <c r="Y76" s="141">
        <f>1/5</f>
        <v>0.2</v>
      </c>
      <c r="Z76" s="139"/>
      <c r="AA76" s="140"/>
      <c r="AB76" s="141"/>
      <c r="AC76" s="139"/>
      <c r="AD76" s="142"/>
      <c r="AE76" s="53"/>
      <c r="AF76" s="59">
        <f>1/2.71</f>
        <v>0.36900369003690037</v>
      </c>
      <c r="AG76" s="60"/>
      <c r="AH76" s="61"/>
      <c r="AI76" s="59">
        <f>1/1.91</f>
        <v>0.52356020942408377</v>
      </c>
      <c r="AJ76" s="60"/>
      <c r="AK76" s="61"/>
      <c r="AL76" s="59"/>
      <c r="AM76" s="60"/>
      <c r="AN76" s="61"/>
      <c r="AO76" s="245"/>
      <c r="AP76" s="62"/>
      <c r="AQ76" s="63"/>
      <c r="AR76" s="64"/>
      <c r="AS76" s="282"/>
      <c r="AT76" s="422" t="s">
        <v>398</v>
      </c>
    </row>
    <row r="77" spans="1:46" ht="15.75" customHeight="1">
      <c r="A77" s="67" t="s">
        <v>156</v>
      </c>
      <c r="B77" s="68"/>
      <c r="C77" s="69"/>
      <c r="D77" s="218" t="s">
        <v>12</v>
      </c>
      <c r="E77" s="218" t="s">
        <v>12</v>
      </c>
      <c r="F77" s="219" t="s">
        <v>12</v>
      </c>
      <c r="G77" s="387">
        <v>39</v>
      </c>
      <c r="H77" s="72">
        <v>6.9</v>
      </c>
      <c r="I77" s="73" t="s">
        <v>314</v>
      </c>
      <c r="J77" s="74">
        <v>6.9</v>
      </c>
      <c r="K77" s="73"/>
      <c r="L77" s="239" t="s">
        <v>275</v>
      </c>
      <c r="M77" s="76"/>
      <c r="N77" s="152"/>
      <c r="O77" s="95"/>
      <c r="P77" s="79"/>
      <c r="Q77" s="80"/>
      <c r="R77" s="81"/>
      <c r="S77" s="68" t="s">
        <v>12</v>
      </c>
      <c r="T77" s="82"/>
      <c r="U77" s="83"/>
      <c r="V77" s="84">
        <v>0.41</v>
      </c>
      <c r="W77" s="85">
        <v>0.14000000000000001</v>
      </c>
      <c r="X77" s="80" t="s">
        <v>31</v>
      </c>
      <c r="Y77" s="86" t="s">
        <v>12</v>
      </c>
      <c r="Z77" s="85" t="s">
        <v>12</v>
      </c>
      <c r="AA77" s="80" t="s">
        <v>12</v>
      </c>
      <c r="AB77" s="86">
        <v>0.33</v>
      </c>
      <c r="AC77" s="85" t="s">
        <v>12</v>
      </c>
      <c r="AD77" s="87" t="s">
        <v>12</v>
      </c>
      <c r="AE77" s="68" t="s">
        <v>91</v>
      </c>
      <c r="AF77" s="88">
        <v>1.1000000000000001</v>
      </c>
      <c r="AG77" s="89" t="s">
        <v>12</v>
      </c>
      <c r="AH77" s="90" t="s">
        <v>12</v>
      </c>
      <c r="AI77" s="88" t="s">
        <v>12</v>
      </c>
      <c r="AJ77" s="89" t="s">
        <v>12</v>
      </c>
      <c r="AK77" s="90" t="s">
        <v>12</v>
      </c>
      <c r="AL77" s="88" t="s">
        <v>12</v>
      </c>
      <c r="AM77" s="89" t="s">
        <v>12</v>
      </c>
      <c r="AN77" s="90" t="s">
        <v>12</v>
      </c>
      <c r="AO77" s="246"/>
      <c r="AP77" s="91"/>
      <c r="AQ77" s="73"/>
      <c r="AR77" s="92"/>
      <c r="AS77" s="275"/>
      <c r="AT77" s="423" t="s">
        <v>397</v>
      </c>
    </row>
    <row r="78" spans="1:46" s="280" customFormat="1" ht="15.75" customHeight="1">
      <c r="A78" s="67" t="s">
        <v>157</v>
      </c>
      <c r="B78" s="68"/>
      <c r="C78" s="69"/>
      <c r="D78" s="70" t="s">
        <v>38</v>
      </c>
      <c r="E78" s="71" t="s">
        <v>38</v>
      </c>
      <c r="F78" s="70" t="s">
        <v>38</v>
      </c>
      <c r="G78" s="387">
        <v>39</v>
      </c>
      <c r="H78" s="72">
        <v>6.9</v>
      </c>
      <c r="I78" s="73" t="s">
        <v>314</v>
      </c>
      <c r="J78" s="74">
        <v>6.9</v>
      </c>
      <c r="K78" s="73"/>
      <c r="L78" s="239" t="s">
        <v>275</v>
      </c>
      <c r="M78" s="76"/>
      <c r="N78" s="77"/>
      <c r="O78" s="78"/>
      <c r="P78" s="79"/>
      <c r="Q78" s="80"/>
      <c r="R78" s="81"/>
      <c r="S78" s="68"/>
      <c r="T78" s="283"/>
      <c r="U78" s="83"/>
      <c r="V78" s="84">
        <f>1/2.38</f>
        <v>0.42016806722689076</v>
      </c>
      <c r="W78" s="85">
        <f>1/6.3</f>
        <v>0.15873015873015872</v>
      </c>
      <c r="X78" s="80"/>
      <c r="Y78" s="86">
        <f>1/2.44</f>
        <v>0.4098360655737705</v>
      </c>
      <c r="Z78" s="85">
        <f>1/7.1</f>
        <v>0.14084507042253522</v>
      </c>
      <c r="AA78" s="80"/>
      <c r="AB78" s="86">
        <f>1/3</f>
        <v>0.33333333333333331</v>
      </c>
      <c r="AC78" s="85"/>
      <c r="AD78" s="87"/>
      <c r="AE78" s="68"/>
      <c r="AF78" s="88">
        <v>1.23</v>
      </c>
      <c r="AG78" s="89"/>
      <c r="AH78" s="90"/>
      <c r="AI78" s="88">
        <v>1.07</v>
      </c>
      <c r="AJ78" s="89"/>
      <c r="AK78" s="90"/>
      <c r="AL78" s="88">
        <v>1.35</v>
      </c>
      <c r="AM78" s="89"/>
      <c r="AN78" s="90"/>
      <c r="AO78" s="246"/>
      <c r="AP78" s="91"/>
      <c r="AQ78" s="73"/>
      <c r="AR78" s="92"/>
      <c r="AS78" s="284" t="s">
        <v>392</v>
      </c>
      <c r="AT78" s="423" t="s">
        <v>397</v>
      </c>
    </row>
    <row r="79" spans="1:46" s="280" customFormat="1" ht="15.75" customHeight="1">
      <c r="A79" s="67" t="s">
        <v>158</v>
      </c>
      <c r="B79" s="68"/>
      <c r="C79" s="69"/>
      <c r="D79" s="70" t="s">
        <v>38</v>
      </c>
      <c r="E79" s="71" t="s">
        <v>38</v>
      </c>
      <c r="F79" s="70" t="s">
        <v>38</v>
      </c>
      <c r="G79" s="387">
        <v>38.6</v>
      </c>
      <c r="H79" s="72">
        <v>5.9</v>
      </c>
      <c r="I79" s="73" t="s">
        <v>314</v>
      </c>
      <c r="J79" s="74">
        <v>5.9</v>
      </c>
      <c r="K79" s="73"/>
      <c r="L79" s="239" t="s">
        <v>275</v>
      </c>
      <c r="M79" s="76"/>
      <c r="N79" s="77"/>
      <c r="O79" s="78"/>
      <c r="P79" s="79"/>
      <c r="Q79" s="80"/>
      <c r="R79" s="81"/>
      <c r="S79" s="68"/>
      <c r="T79" s="283"/>
      <c r="U79" s="83"/>
      <c r="V79" s="84">
        <f>1/2.38</f>
        <v>0.42016806722689076</v>
      </c>
      <c r="W79" s="85"/>
      <c r="X79" s="80"/>
      <c r="Y79" s="86">
        <f>1/2.44</f>
        <v>0.4098360655737705</v>
      </c>
      <c r="Z79" s="85">
        <f>1/7.62</f>
        <v>0.13123359580052493</v>
      </c>
      <c r="AA79" s="80"/>
      <c r="AB79" s="86">
        <f>1/3.13</f>
        <v>0.31948881789137379</v>
      </c>
      <c r="AC79" s="85"/>
      <c r="AD79" s="87"/>
      <c r="AE79" s="68"/>
      <c r="AF79" s="88">
        <v>0.2</v>
      </c>
      <c r="AG79" s="89"/>
      <c r="AH79" s="90"/>
      <c r="AI79" s="88">
        <v>0.2</v>
      </c>
      <c r="AJ79" s="89"/>
      <c r="AK79" s="90"/>
      <c r="AL79" s="88"/>
      <c r="AM79" s="89"/>
      <c r="AN79" s="90"/>
      <c r="AO79" s="246"/>
      <c r="AP79" s="91"/>
      <c r="AQ79" s="73"/>
      <c r="AR79" s="92"/>
      <c r="AS79" s="284" t="s">
        <v>392</v>
      </c>
      <c r="AT79" s="423" t="s">
        <v>397</v>
      </c>
    </row>
    <row r="80" spans="1:46" ht="15.75" customHeight="1">
      <c r="A80" s="67" t="s">
        <v>159</v>
      </c>
      <c r="B80" s="68"/>
      <c r="C80" s="69"/>
      <c r="D80" s="218" t="s">
        <v>12</v>
      </c>
      <c r="E80" s="218" t="s">
        <v>12</v>
      </c>
      <c r="F80" s="219" t="s">
        <v>12</v>
      </c>
      <c r="G80" s="387">
        <v>36.299999999999997</v>
      </c>
      <c r="H80" s="72">
        <v>5.6</v>
      </c>
      <c r="I80" s="73" t="s">
        <v>314</v>
      </c>
      <c r="J80" s="74">
        <v>5.6</v>
      </c>
      <c r="K80" s="73"/>
      <c r="L80" s="239" t="s">
        <v>275</v>
      </c>
      <c r="M80" s="76"/>
      <c r="N80" s="152"/>
      <c r="O80" s="95"/>
      <c r="P80" s="79"/>
      <c r="Q80" s="80"/>
      <c r="R80" s="81"/>
      <c r="S80" s="68" t="s">
        <v>12</v>
      </c>
      <c r="T80" s="82"/>
      <c r="U80" s="83"/>
      <c r="V80" s="84">
        <v>0.56999999999999995</v>
      </c>
      <c r="W80" s="85" t="s">
        <v>12</v>
      </c>
      <c r="X80" s="80" t="s">
        <v>12</v>
      </c>
      <c r="Y80" s="86" t="s">
        <v>12</v>
      </c>
      <c r="Z80" s="85" t="s">
        <v>12</v>
      </c>
      <c r="AA80" s="80" t="s">
        <v>12</v>
      </c>
      <c r="AB80" s="86" t="s">
        <v>12</v>
      </c>
      <c r="AC80" s="85" t="s">
        <v>12</v>
      </c>
      <c r="AD80" s="87" t="s">
        <v>12</v>
      </c>
      <c r="AE80" s="68" t="s">
        <v>91</v>
      </c>
      <c r="AF80" s="88">
        <v>2.2999999999999998</v>
      </c>
      <c r="AG80" s="89" t="s">
        <v>12</v>
      </c>
      <c r="AH80" s="90" t="s">
        <v>12</v>
      </c>
      <c r="AI80" s="88" t="s">
        <v>12</v>
      </c>
      <c r="AJ80" s="89" t="s">
        <v>12</v>
      </c>
      <c r="AK80" s="90" t="s">
        <v>12</v>
      </c>
      <c r="AL80" s="88" t="s">
        <v>12</v>
      </c>
      <c r="AM80" s="89" t="s">
        <v>12</v>
      </c>
      <c r="AN80" s="90" t="s">
        <v>12</v>
      </c>
      <c r="AO80" s="246"/>
      <c r="AP80" s="91"/>
      <c r="AQ80" s="73"/>
      <c r="AR80" s="92"/>
      <c r="AS80" s="275"/>
      <c r="AT80" s="423" t="s">
        <v>397</v>
      </c>
    </row>
    <row r="81" spans="1:46" s="280" customFormat="1" ht="15.75" customHeight="1">
      <c r="A81" s="67" t="s">
        <v>160</v>
      </c>
      <c r="B81" s="68"/>
      <c r="C81" s="69"/>
      <c r="D81" s="70" t="s">
        <v>38</v>
      </c>
      <c r="E81" s="71" t="s">
        <v>38</v>
      </c>
      <c r="F81" s="70" t="s">
        <v>38</v>
      </c>
      <c r="G81" s="387">
        <v>36.299999999999997</v>
      </c>
      <c r="H81" s="72">
        <v>5.6</v>
      </c>
      <c r="I81" s="73" t="s">
        <v>314</v>
      </c>
      <c r="J81" s="74">
        <v>5.6</v>
      </c>
      <c r="K81" s="73"/>
      <c r="L81" s="239" t="s">
        <v>275</v>
      </c>
      <c r="M81" s="76"/>
      <c r="N81" s="77"/>
      <c r="O81" s="78"/>
      <c r="P81" s="79"/>
      <c r="Q81" s="80"/>
      <c r="R81" s="81"/>
      <c r="S81" s="68"/>
      <c r="T81" s="283" t="s">
        <v>83</v>
      </c>
      <c r="U81" s="83"/>
      <c r="V81" s="84">
        <f>1/1.75</f>
        <v>0.5714285714285714</v>
      </c>
      <c r="W81" s="85"/>
      <c r="X81" s="80"/>
      <c r="Y81" s="86">
        <f>1/1.75</f>
        <v>0.5714285714285714</v>
      </c>
      <c r="Z81" s="85"/>
      <c r="AA81" s="80"/>
      <c r="AB81" s="86"/>
      <c r="AC81" s="85"/>
      <c r="AD81" s="87"/>
      <c r="AE81" s="68"/>
      <c r="AF81" s="88">
        <v>0.36</v>
      </c>
      <c r="AG81" s="89"/>
      <c r="AH81" s="90"/>
      <c r="AI81" s="88">
        <v>0.35</v>
      </c>
      <c r="AJ81" s="89"/>
      <c r="AK81" s="90"/>
      <c r="AL81" s="88"/>
      <c r="AM81" s="89"/>
      <c r="AN81" s="90"/>
      <c r="AO81" s="246"/>
      <c r="AP81" s="91"/>
      <c r="AQ81" s="73"/>
      <c r="AR81" s="92"/>
      <c r="AS81" s="279" t="s">
        <v>391</v>
      </c>
      <c r="AT81" s="423" t="s">
        <v>397</v>
      </c>
    </row>
    <row r="82" spans="1:46" s="280" customFormat="1" ht="15.75" customHeight="1">
      <c r="A82" s="67" t="s">
        <v>161</v>
      </c>
      <c r="B82" s="68"/>
      <c r="C82" s="69"/>
      <c r="D82" s="70" t="s">
        <v>38</v>
      </c>
      <c r="E82" s="71" t="s">
        <v>38</v>
      </c>
      <c r="F82" s="70" t="s">
        <v>38</v>
      </c>
      <c r="G82" s="387">
        <v>36.299999999999997</v>
      </c>
      <c r="H82" s="72"/>
      <c r="I82" s="73"/>
      <c r="J82" s="74"/>
      <c r="K82" s="73"/>
      <c r="L82" s="239" t="s">
        <v>275</v>
      </c>
      <c r="M82" s="76"/>
      <c r="N82" s="77"/>
      <c r="O82" s="78"/>
      <c r="P82" s="79"/>
      <c r="Q82" s="80"/>
      <c r="R82" s="81"/>
      <c r="S82" s="68"/>
      <c r="T82" s="283"/>
      <c r="U82" s="83"/>
      <c r="V82" s="84">
        <v>0.56999999999999995</v>
      </c>
      <c r="W82" s="85"/>
      <c r="X82" s="80"/>
      <c r="Y82" s="86"/>
      <c r="Z82" s="85"/>
      <c r="AA82" s="80"/>
      <c r="AB82" s="86"/>
      <c r="AC82" s="85"/>
      <c r="AD82" s="87"/>
      <c r="AE82" s="68"/>
      <c r="AF82" s="88">
        <v>2.29</v>
      </c>
      <c r="AG82" s="89"/>
      <c r="AH82" s="90"/>
      <c r="AI82" s="88"/>
      <c r="AJ82" s="89"/>
      <c r="AK82" s="90"/>
      <c r="AL82" s="88"/>
      <c r="AM82" s="89"/>
      <c r="AN82" s="90"/>
      <c r="AO82" s="246"/>
      <c r="AP82" s="91"/>
      <c r="AQ82" s="73"/>
      <c r="AR82" s="92"/>
      <c r="AS82" s="279" t="s">
        <v>391</v>
      </c>
      <c r="AT82" s="423" t="s">
        <v>397</v>
      </c>
    </row>
    <row r="83" spans="1:46" s="280" customFormat="1" ht="15.75" customHeight="1">
      <c r="A83" s="67" t="s">
        <v>162</v>
      </c>
      <c r="B83" s="68"/>
      <c r="C83" s="69"/>
      <c r="D83" s="70" t="s">
        <v>38</v>
      </c>
      <c r="E83" s="71" t="s">
        <v>38</v>
      </c>
      <c r="F83" s="70" t="s">
        <v>38</v>
      </c>
      <c r="G83" s="387">
        <v>33.5</v>
      </c>
      <c r="H83" s="72"/>
      <c r="I83" s="73"/>
      <c r="J83" s="74"/>
      <c r="K83" s="73"/>
      <c r="L83" s="239" t="s">
        <v>275</v>
      </c>
      <c r="M83" s="76"/>
      <c r="N83" s="77"/>
      <c r="O83" s="78"/>
      <c r="P83" s="79"/>
      <c r="Q83" s="80"/>
      <c r="R83" s="81"/>
      <c r="S83" s="68"/>
      <c r="T83" s="283"/>
      <c r="U83" s="83"/>
      <c r="V83" s="84">
        <v>0.28999999999999998</v>
      </c>
      <c r="W83" s="85"/>
      <c r="X83" s="80"/>
      <c r="Y83" s="86"/>
      <c r="Z83" s="85"/>
      <c r="AA83" s="80"/>
      <c r="AB83" s="86"/>
      <c r="AC83" s="85"/>
      <c r="AD83" s="87"/>
      <c r="AE83" s="68"/>
      <c r="AF83" s="88">
        <v>1.1298999999999999</v>
      </c>
      <c r="AG83" s="89"/>
      <c r="AH83" s="90"/>
      <c r="AI83" s="88"/>
      <c r="AJ83" s="89"/>
      <c r="AK83" s="90"/>
      <c r="AL83" s="88"/>
      <c r="AM83" s="89"/>
      <c r="AN83" s="90"/>
      <c r="AO83" s="246"/>
      <c r="AP83" s="91"/>
      <c r="AQ83" s="73"/>
      <c r="AR83" s="92"/>
      <c r="AS83" s="279" t="s">
        <v>391</v>
      </c>
      <c r="AT83" s="423" t="s">
        <v>398</v>
      </c>
    </row>
    <row r="84" spans="1:46" s="280" customFormat="1" ht="15.75" customHeight="1">
      <c r="A84" s="67" t="s">
        <v>163</v>
      </c>
      <c r="B84" s="68"/>
      <c r="C84" s="69"/>
      <c r="D84" s="70" t="s">
        <v>38</v>
      </c>
      <c r="E84" s="71" t="s">
        <v>38</v>
      </c>
      <c r="F84" s="70" t="s">
        <v>38</v>
      </c>
      <c r="G84" s="387">
        <v>33.5</v>
      </c>
      <c r="H84" s="72">
        <v>6.94</v>
      </c>
      <c r="I84" s="73" t="s">
        <v>314</v>
      </c>
      <c r="J84" s="74">
        <v>6.94</v>
      </c>
      <c r="K84" s="73"/>
      <c r="L84" s="239" t="s">
        <v>275</v>
      </c>
      <c r="M84" s="76"/>
      <c r="N84" s="77"/>
      <c r="O84" s="78"/>
      <c r="P84" s="79"/>
      <c r="Q84" s="80"/>
      <c r="R84" s="81"/>
      <c r="S84" s="68"/>
      <c r="T84" s="283" t="s">
        <v>83</v>
      </c>
      <c r="U84" s="83"/>
      <c r="V84" s="84">
        <f>1/3.39</f>
        <v>0.29498525073746312</v>
      </c>
      <c r="W84" s="85"/>
      <c r="X84" s="80"/>
      <c r="Y84" s="86">
        <f>1/3.75</f>
        <v>0.26666666666666666</v>
      </c>
      <c r="Z84" s="85"/>
      <c r="AA84" s="80"/>
      <c r="AB84" s="86"/>
      <c r="AC84" s="85"/>
      <c r="AD84" s="87"/>
      <c r="AE84" s="68"/>
      <c r="AF84" s="88">
        <v>0.18</v>
      </c>
      <c r="AG84" s="89"/>
      <c r="AH84" s="90"/>
      <c r="AI84" s="88">
        <v>0.22</v>
      </c>
      <c r="AJ84" s="89"/>
      <c r="AK84" s="90"/>
      <c r="AL84" s="88"/>
      <c r="AM84" s="89"/>
      <c r="AN84" s="90"/>
      <c r="AO84" s="246"/>
      <c r="AP84" s="91"/>
      <c r="AQ84" s="73"/>
      <c r="AR84" s="92"/>
      <c r="AS84" s="279" t="s">
        <v>391</v>
      </c>
      <c r="AT84" s="423" t="s">
        <v>398</v>
      </c>
    </row>
    <row r="85" spans="1:46" ht="15.75" customHeight="1">
      <c r="A85" s="67" t="s">
        <v>164</v>
      </c>
      <c r="B85" s="68"/>
      <c r="C85" s="69"/>
      <c r="D85" s="218" t="s">
        <v>12</v>
      </c>
      <c r="E85" s="218" t="s">
        <v>12</v>
      </c>
      <c r="F85" s="219" t="s">
        <v>12</v>
      </c>
      <c r="G85" s="387">
        <v>31</v>
      </c>
      <c r="H85" s="72">
        <v>5</v>
      </c>
      <c r="I85" s="73" t="s">
        <v>314</v>
      </c>
      <c r="J85" s="74">
        <v>5</v>
      </c>
      <c r="K85" s="73"/>
      <c r="L85" s="239" t="s">
        <v>275</v>
      </c>
      <c r="M85" s="76"/>
      <c r="N85" s="152"/>
      <c r="O85" s="95"/>
      <c r="P85" s="79"/>
      <c r="Q85" s="80"/>
      <c r="R85" s="81"/>
      <c r="S85" s="68" t="s">
        <v>12</v>
      </c>
      <c r="T85" s="82"/>
      <c r="U85" s="83"/>
      <c r="V85" s="84">
        <v>0.37</v>
      </c>
      <c r="W85" s="85" t="s">
        <v>12</v>
      </c>
      <c r="X85" s="80" t="s">
        <v>12</v>
      </c>
      <c r="Y85" s="86" t="s">
        <v>12</v>
      </c>
      <c r="Z85" s="85" t="s">
        <v>12</v>
      </c>
      <c r="AA85" s="80" t="s">
        <v>12</v>
      </c>
      <c r="AB85" s="86" t="s">
        <v>12</v>
      </c>
      <c r="AC85" s="85" t="s">
        <v>12</v>
      </c>
      <c r="AD85" s="87" t="s">
        <v>12</v>
      </c>
      <c r="AE85" s="68" t="s">
        <v>91</v>
      </c>
      <c r="AF85" s="88">
        <v>1.4</v>
      </c>
      <c r="AG85" s="89" t="s">
        <v>12</v>
      </c>
      <c r="AH85" s="90" t="s">
        <v>12</v>
      </c>
      <c r="AI85" s="88" t="s">
        <v>12</v>
      </c>
      <c r="AJ85" s="89" t="s">
        <v>12</v>
      </c>
      <c r="AK85" s="90" t="s">
        <v>12</v>
      </c>
      <c r="AL85" s="88" t="s">
        <v>12</v>
      </c>
      <c r="AM85" s="89" t="s">
        <v>12</v>
      </c>
      <c r="AN85" s="90" t="s">
        <v>12</v>
      </c>
      <c r="AO85" s="246"/>
      <c r="AP85" s="91"/>
      <c r="AQ85" s="73"/>
      <c r="AR85" s="92"/>
      <c r="AS85" s="275"/>
      <c r="AT85" s="427" t="s">
        <v>397</v>
      </c>
    </row>
    <row r="86" spans="1:46" s="280" customFormat="1" ht="15.75" customHeight="1">
      <c r="A86" s="67" t="s">
        <v>165</v>
      </c>
      <c r="B86" s="68"/>
      <c r="C86" s="69"/>
      <c r="D86" s="70" t="s">
        <v>38</v>
      </c>
      <c r="E86" s="71" t="s">
        <v>38</v>
      </c>
      <c r="F86" s="70" t="s">
        <v>38</v>
      </c>
      <c r="G86" s="387">
        <v>31</v>
      </c>
      <c r="H86" s="72">
        <v>5</v>
      </c>
      <c r="I86" s="73" t="s">
        <v>314</v>
      </c>
      <c r="J86" s="74">
        <v>5</v>
      </c>
      <c r="K86" s="73"/>
      <c r="L86" s="239" t="s">
        <v>275</v>
      </c>
      <c r="M86" s="76"/>
      <c r="N86" s="77"/>
      <c r="O86" s="78"/>
      <c r="P86" s="79"/>
      <c r="Q86" s="80"/>
      <c r="R86" s="81"/>
      <c r="S86" s="68"/>
      <c r="T86" s="283" t="s">
        <v>96</v>
      </c>
      <c r="U86" s="83"/>
      <c r="V86" s="84">
        <f>1/2.7</f>
        <v>0.37037037037037035</v>
      </c>
      <c r="W86" s="85"/>
      <c r="X86" s="80"/>
      <c r="Y86" s="86">
        <f>1/2.7</f>
        <v>0.37037037037037035</v>
      </c>
      <c r="Z86" s="85"/>
      <c r="AA86" s="80"/>
      <c r="AB86" s="86">
        <f>1/2.7</f>
        <v>0.37037037037037035</v>
      </c>
      <c r="AC86" s="85"/>
      <c r="AD86" s="87"/>
      <c r="AE86" s="68"/>
      <c r="AF86" s="88">
        <v>0.21</v>
      </c>
      <c r="AG86" s="89"/>
      <c r="AH86" s="90"/>
      <c r="AI86" s="88">
        <v>0.22</v>
      </c>
      <c r="AJ86" s="89"/>
      <c r="AK86" s="90"/>
      <c r="AL86" s="88">
        <v>0.18</v>
      </c>
      <c r="AM86" s="89"/>
      <c r="AN86" s="90"/>
      <c r="AO86" s="246"/>
      <c r="AP86" s="91"/>
      <c r="AQ86" s="73"/>
      <c r="AR86" s="92"/>
      <c r="AS86" s="279" t="s">
        <v>391</v>
      </c>
      <c r="AT86" s="423" t="s">
        <v>397</v>
      </c>
    </row>
    <row r="87" spans="1:46" s="280" customFormat="1" ht="15.75" customHeight="1">
      <c r="A87" s="67" t="s">
        <v>166</v>
      </c>
      <c r="B87" s="68"/>
      <c r="C87" s="69"/>
      <c r="D87" s="70" t="s">
        <v>38</v>
      </c>
      <c r="E87" s="71" t="s">
        <v>38</v>
      </c>
      <c r="F87" s="70" t="s">
        <v>38</v>
      </c>
      <c r="G87" s="387">
        <v>31</v>
      </c>
      <c r="H87" s="72"/>
      <c r="I87" s="73"/>
      <c r="J87" s="74"/>
      <c r="K87" s="73"/>
      <c r="L87" s="239" t="s">
        <v>275</v>
      </c>
      <c r="M87" s="76"/>
      <c r="N87" s="77"/>
      <c r="O87" s="78"/>
      <c r="P87" s="79"/>
      <c r="Q87" s="80"/>
      <c r="R87" s="81"/>
      <c r="S87" s="68"/>
      <c r="T87" s="283"/>
      <c r="U87" s="83"/>
      <c r="V87" s="84">
        <v>0.37</v>
      </c>
      <c r="W87" s="85"/>
      <c r="X87" s="80"/>
      <c r="Y87" s="86"/>
      <c r="Z87" s="85"/>
      <c r="AA87" s="80"/>
      <c r="AB87" s="86"/>
      <c r="AC87" s="85"/>
      <c r="AD87" s="87"/>
      <c r="AE87" s="68"/>
      <c r="AF87" s="88">
        <v>1.3839999999999999</v>
      </c>
      <c r="AG87" s="89"/>
      <c r="AH87" s="90"/>
      <c r="AI87" s="88"/>
      <c r="AJ87" s="89"/>
      <c r="AK87" s="90"/>
      <c r="AL87" s="88"/>
      <c r="AM87" s="89"/>
      <c r="AN87" s="90"/>
      <c r="AO87" s="246"/>
      <c r="AP87" s="91"/>
      <c r="AQ87" s="73"/>
      <c r="AR87" s="92"/>
      <c r="AS87" s="279" t="s">
        <v>391</v>
      </c>
      <c r="AT87" s="423" t="s">
        <v>397</v>
      </c>
    </row>
    <row r="88" spans="1:46" s="280" customFormat="1" ht="15.75" customHeight="1">
      <c r="A88" s="67" t="s">
        <v>167</v>
      </c>
      <c r="B88" s="68"/>
      <c r="C88" s="69"/>
      <c r="D88" s="70" t="s">
        <v>38</v>
      </c>
      <c r="E88" s="71" t="s">
        <v>38</v>
      </c>
      <c r="F88" s="70" t="s">
        <v>38</v>
      </c>
      <c r="G88" s="387">
        <v>29.4</v>
      </c>
      <c r="H88" s="72">
        <v>5.8</v>
      </c>
      <c r="I88" s="73" t="s">
        <v>314</v>
      </c>
      <c r="J88" s="74">
        <v>5.8</v>
      </c>
      <c r="K88" s="73"/>
      <c r="L88" s="239" t="s">
        <v>275</v>
      </c>
      <c r="M88" s="76"/>
      <c r="N88" s="77"/>
      <c r="O88" s="78"/>
      <c r="P88" s="79"/>
      <c r="Q88" s="80"/>
      <c r="R88" s="81"/>
      <c r="S88" s="68"/>
      <c r="T88" s="283" t="s">
        <v>83</v>
      </c>
      <c r="U88" s="83"/>
      <c r="V88" s="84">
        <f>1/2.98</f>
        <v>0.33557046979865773</v>
      </c>
      <c r="W88" s="85"/>
      <c r="X88" s="80"/>
      <c r="Y88" s="86">
        <f>1/3.33</f>
        <v>0.3003003003003003</v>
      </c>
      <c r="Z88" s="85"/>
      <c r="AA88" s="80"/>
      <c r="AB88" s="86"/>
      <c r="AC88" s="85"/>
      <c r="AD88" s="87"/>
      <c r="AE88" s="68"/>
      <c r="AF88" s="88">
        <v>0.18</v>
      </c>
      <c r="AG88" s="89"/>
      <c r="AH88" s="90"/>
      <c r="AI88" s="88">
        <v>0.24</v>
      </c>
      <c r="AJ88" s="89"/>
      <c r="AK88" s="90"/>
      <c r="AL88" s="88"/>
      <c r="AM88" s="89"/>
      <c r="AN88" s="90"/>
      <c r="AO88" s="246"/>
      <c r="AP88" s="91"/>
      <c r="AQ88" s="73"/>
      <c r="AR88" s="92"/>
      <c r="AS88" s="279" t="s">
        <v>391</v>
      </c>
      <c r="AT88" s="423" t="s">
        <v>398</v>
      </c>
    </row>
    <row r="89" spans="1:46" s="280" customFormat="1" ht="15.75" customHeight="1">
      <c r="A89" s="157" t="s">
        <v>168</v>
      </c>
      <c r="B89" s="158"/>
      <c r="C89" s="159"/>
      <c r="D89" s="160" t="s">
        <v>38</v>
      </c>
      <c r="E89" s="161" t="s">
        <v>38</v>
      </c>
      <c r="F89" s="160" t="s">
        <v>38</v>
      </c>
      <c r="G89" s="386">
        <v>25</v>
      </c>
      <c r="H89" s="162">
        <v>0.8</v>
      </c>
      <c r="I89" s="163" t="s">
        <v>314</v>
      </c>
      <c r="J89" s="164">
        <v>0.8</v>
      </c>
      <c r="K89" s="163"/>
      <c r="L89" s="240" t="s">
        <v>275</v>
      </c>
      <c r="M89" s="166"/>
      <c r="N89" s="167"/>
      <c r="O89" s="168"/>
      <c r="P89" s="169"/>
      <c r="Q89" s="170"/>
      <c r="R89" s="171"/>
      <c r="S89" s="172"/>
      <c r="T89" s="276" t="s">
        <v>96</v>
      </c>
      <c r="U89" s="173"/>
      <c r="V89" s="174">
        <f>1/1.35</f>
        <v>0.7407407407407407</v>
      </c>
      <c r="W89" s="175"/>
      <c r="X89" s="176"/>
      <c r="Y89" s="177">
        <f>1/1.35</f>
        <v>0.7407407407407407</v>
      </c>
      <c r="Z89" s="175"/>
      <c r="AA89" s="176"/>
      <c r="AB89" s="177"/>
      <c r="AC89" s="175"/>
      <c r="AD89" s="178"/>
      <c r="AE89" s="172"/>
      <c r="AF89" s="179"/>
      <c r="AG89" s="277"/>
      <c r="AH89" s="278"/>
      <c r="AI89" s="179">
        <v>0.05</v>
      </c>
      <c r="AJ89" s="277"/>
      <c r="AK89" s="278"/>
      <c r="AL89" s="179"/>
      <c r="AM89" s="277"/>
      <c r="AN89" s="278"/>
      <c r="AO89" s="252"/>
      <c r="AP89" s="181"/>
      <c r="AQ89" s="182"/>
      <c r="AR89" s="112"/>
      <c r="AS89" s="279" t="s">
        <v>391</v>
      </c>
      <c r="AT89" s="421" t="s">
        <v>397</v>
      </c>
    </row>
    <row r="90" spans="1:46" s="280" customFormat="1" ht="15.75" customHeight="1">
      <c r="A90" s="38"/>
      <c r="B90" s="39"/>
      <c r="C90" s="40"/>
      <c r="D90" s="41"/>
      <c r="E90" s="42"/>
      <c r="F90" s="41"/>
      <c r="G90" s="385"/>
      <c r="H90" s="43"/>
      <c r="I90" s="44"/>
      <c r="J90" s="45"/>
      <c r="K90" s="44"/>
      <c r="L90" s="238"/>
      <c r="M90" s="47"/>
      <c r="N90" s="48"/>
      <c r="O90" s="49"/>
      <c r="P90" s="50"/>
      <c r="Q90" s="51"/>
      <c r="R90" s="52"/>
      <c r="S90" s="53"/>
      <c r="T90" s="281" t="s">
        <v>96</v>
      </c>
      <c r="U90" s="156"/>
      <c r="V90" s="151">
        <f>1/1.35</f>
        <v>0.7407407407407407</v>
      </c>
      <c r="W90" s="139"/>
      <c r="X90" s="140"/>
      <c r="Y90" s="141">
        <f>1/0.43</f>
        <v>2.3255813953488373</v>
      </c>
      <c r="Z90" s="139"/>
      <c r="AA90" s="140"/>
      <c r="AB90" s="141"/>
      <c r="AC90" s="139"/>
      <c r="AD90" s="142"/>
      <c r="AE90" s="53"/>
      <c r="AF90" s="59"/>
      <c r="AG90" s="60"/>
      <c r="AH90" s="61"/>
      <c r="AI90" s="59">
        <v>0.04</v>
      </c>
      <c r="AJ90" s="60"/>
      <c r="AK90" s="61"/>
      <c r="AL90" s="59"/>
      <c r="AM90" s="60"/>
      <c r="AN90" s="61"/>
      <c r="AO90" s="245"/>
      <c r="AP90" s="62"/>
      <c r="AQ90" s="63"/>
      <c r="AR90" s="64"/>
      <c r="AS90" s="282"/>
      <c r="AT90" s="422" t="s">
        <v>398</v>
      </c>
    </row>
    <row r="91" spans="1:46" s="280" customFormat="1" ht="15.75" customHeight="1">
      <c r="A91" s="67" t="s">
        <v>169</v>
      </c>
      <c r="B91" s="68"/>
      <c r="C91" s="69"/>
      <c r="D91" s="70" t="s">
        <v>38</v>
      </c>
      <c r="E91" s="71" t="s">
        <v>38</v>
      </c>
      <c r="F91" s="70" t="s">
        <v>38</v>
      </c>
      <c r="G91" s="387">
        <v>23.8</v>
      </c>
      <c r="H91" s="72">
        <v>5.2</v>
      </c>
      <c r="I91" s="73" t="s">
        <v>314</v>
      </c>
      <c r="J91" s="74">
        <v>5.2</v>
      </c>
      <c r="K91" s="73"/>
      <c r="L91" s="239" t="s">
        <v>275</v>
      </c>
      <c r="M91" s="76"/>
      <c r="N91" s="77"/>
      <c r="O91" s="78"/>
      <c r="P91" s="79"/>
      <c r="Q91" s="80"/>
      <c r="R91" s="81"/>
      <c r="S91" s="68"/>
      <c r="T91" s="283" t="s">
        <v>95</v>
      </c>
      <c r="U91" s="83"/>
      <c r="V91" s="84">
        <f>1/4.17</f>
        <v>0.23980815347721823</v>
      </c>
      <c r="W91" s="85"/>
      <c r="X91" s="80"/>
      <c r="Y91" s="86">
        <f>1/4.35</f>
        <v>0.22988505747126439</v>
      </c>
      <c r="Z91" s="85"/>
      <c r="AA91" s="80"/>
      <c r="AB91" s="86"/>
      <c r="AC91" s="85"/>
      <c r="AD91" s="87"/>
      <c r="AE91" s="68"/>
      <c r="AF91" s="88">
        <v>1.2</v>
      </c>
      <c r="AG91" s="89"/>
      <c r="AH91" s="90"/>
      <c r="AI91" s="88">
        <v>1</v>
      </c>
      <c r="AJ91" s="89"/>
      <c r="AK91" s="90"/>
      <c r="AL91" s="88"/>
      <c r="AM91" s="89"/>
      <c r="AN91" s="90"/>
      <c r="AO91" s="246"/>
      <c r="AP91" s="91"/>
      <c r="AQ91" s="73"/>
      <c r="AR91" s="92"/>
      <c r="AS91" s="284" t="s">
        <v>392</v>
      </c>
      <c r="AT91" s="423" t="s">
        <v>397</v>
      </c>
    </row>
    <row r="92" spans="1:46" ht="15.75" customHeight="1">
      <c r="A92" s="67" t="s">
        <v>170</v>
      </c>
      <c r="B92" s="68" t="s">
        <v>78</v>
      </c>
      <c r="C92" s="69"/>
      <c r="D92" s="218" t="s">
        <v>12</v>
      </c>
      <c r="E92" s="218" t="s">
        <v>12</v>
      </c>
      <c r="F92" s="219" t="s">
        <v>12</v>
      </c>
      <c r="G92" s="387">
        <v>23.5</v>
      </c>
      <c r="H92" s="72">
        <v>4</v>
      </c>
      <c r="I92" s="73" t="s">
        <v>314</v>
      </c>
      <c r="J92" s="74">
        <v>4</v>
      </c>
      <c r="K92" s="73"/>
      <c r="L92" s="239" t="s">
        <v>275</v>
      </c>
      <c r="M92" s="76"/>
      <c r="N92" s="152"/>
      <c r="O92" s="95"/>
      <c r="P92" s="79"/>
      <c r="Q92" s="80"/>
      <c r="R92" s="81"/>
      <c r="S92" s="68" t="s">
        <v>12</v>
      </c>
      <c r="T92" s="82"/>
      <c r="U92" s="83"/>
      <c r="V92" s="84">
        <v>0.28999999999999998</v>
      </c>
      <c r="W92" s="85">
        <v>0.06</v>
      </c>
      <c r="X92" s="80" t="s">
        <v>12</v>
      </c>
      <c r="Y92" s="86" t="s">
        <v>12</v>
      </c>
      <c r="Z92" s="85" t="s">
        <v>12</v>
      </c>
      <c r="AA92" s="80" t="s">
        <v>12</v>
      </c>
      <c r="AB92" s="86">
        <v>0.1</v>
      </c>
      <c r="AC92" s="85" t="s">
        <v>12</v>
      </c>
      <c r="AD92" s="87" t="s">
        <v>12</v>
      </c>
      <c r="AE92" s="68" t="s">
        <v>91</v>
      </c>
      <c r="AF92" s="88">
        <v>0.9</v>
      </c>
      <c r="AG92" s="89" t="s">
        <v>12</v>
      </c>
      <c r="AH92" s="90" t="s">
        <v>12</v>
      </c>
      <c r="AI92" s="88" t="s">
        <v>12</v>
      </c>
      <c r="AJ92" s="89" t="s">
        <v>12</v>
      </c>
      <c r="AK92" s="90" t="s">
        <v>12</v>
      </c>
      <c r="AL92" s="88" t="s">
        <v>12</v>
      </c>
      <c r="AM92" s="89" t="s">
        <v>12</v>
      </c>
      <c r="AN92" s="90" t="s">
        <v>12</v>
      </c>
      <c r="AO92" s="246"/>
      <c r="AP92" s="91"/>
      <c r="AQ92" s="73"/>
      <c r="AR92" s="92"/>
      <c r="AS92" s="275"/>
      <c r="AT92" s="423" t="s">
        <v>397</v>
      </c>
    </row>
    <row r="93" spans="1:46" ht="15.75" customHeight="1">
      <c r="A93" s="67" t="s">
        <v>171</v>
      </c>
      <c r="B93" s="68" t="s">
        <v>77</v>
      </c>
      <c r="C93" s="69"/>
      <c r="D93" s="331" t="s">
        <v>12</v>
      </c>
      <c r="E93" s="332" t="s">
        <v>12</v>
      </c>
      <c r="F93" s="333" t="s">
        <v>12</v>
      </c>
      <c r="G93" s="387">
        <v>23.5</v>
      </c>
      <c r="H93" s="72">
        <v>4.5</v>
      </c>
      <c r="I93" s="73" t="s">
        <v>314</v>
      </c>
      <c r="J93" s="74">
        <v>4.5</v>
      </c>
      <c r="K93" s="73"/>
      <c r="L93" s="239" t="s">
        <v>275</v>
      </c>
      <c r="M93" s="76"/>
      <c r="N93" s="152"/>
      <c r="O93" s="95"/>
      <c r="P93" s="79"/>
      <c r="Q93" s="80"/>
      <c r="R93" s="81"/>
      <c r="S93" s="68" t="s">
        <v>12</v>
      </c>
      <c r="T93" s="82"/>
      <c r="U93" s="83"/>
      <c r="V93" s="84">
        <v>0.34</v>
      </c>
      <c r="W93" s="85">
        <v>7.0000000000000007E-2</v>
      </c>
      <c r="X93" s="80" t="s">
        <v>12</v>
      </c>
      <c r="Y93" s="86" t="s">
        <v>12</v>
      </c>
      <c r="Z93" s="85" t="s">
        <v>12</v>
      </c>
      <c r="AA93" s="80" t="s">
        <v>12</v>
      </c>
      <c r="AB93" s="86">
        <v>0.08</v>
      </c>
      <c r="AC93" s="85" t="s">
        <v>12</v>
      </c>
      <c r="AD93" s="87" t="s">
        <v>12</v>
      </c>
      <c r="AE93" s="68" t="s">
        <v>91</v>
      </c>
      <c r="AF93" s="88">
        <v>0.9</v>
      </c>
      <c r="AG93" s="89" t="s">
        <v>12</v>
      </c>
      <c r="AH93" s="90" t="s">
        <v>12</v>
      </c>
      <c r="AI93" s="88" t="s">
        <v>12</v>
      </c>
      <c r="AJ93" s="89" t="s">
        <v>12</v>
      </c>
      <c r="AK93" s="90" t="s">
        <v>12</v>
      </c>
      <c r="AL93" s="88" t="s">
        <v>12</v>
      </c>
      <c r="AM93" s="89" t="s">
        <v>12</v>
      </c>
      <c r="AN93" s="90" t="s">
        <v>12</v>
      </c>
      <c r="AO93" s="246"/>
      <c r="AP93" s="91"/>
      <c r="AQ93" s="73"/>
      <c r="AR93" s="92"/>
      <c r="AS93" s="275"/>
      <c r="AT93" s="423" t="s">
        <v>397</v>
      </c>
    </row>
    <row r="94" spans="1:46" s="280" customFormat="1" ht="15.75" customHeight="1">
      <c r="A94" s="157" t="s">
        <v>172</v>
      </c>
      <c r="B94" s="158"/>
      <c r="C94" s="159"/>
      <c r="D94" s="160" t="s">
        <v>38</v>
      </c>
      <c r="E94" s="161" t="s">
        <v>38</v>
      </c>
      <c r="F94" s="160" t="s">
        <v>38</v>
      </c>
      <c r="G94" s="386">
        <v>21</v>
      </c>
      <c r="H94" s="162">
        <v>6.4</v>
      </c>
      <c r="I94" s="163" t="s">
        <v>314</v>
      </c>
      <c r="J94" s="164">
        <v>6.4</v>
      </c>
      <c r="K94" s="163"/>
      <c r="L94" s="240" t="s">
        <v>279</v>
      </c>
      <c r="M94" s="166"/>
      <c r="N94" s="167"/>
      <c r="O94" s="168"/>
      <c r="P94" s="169"/>
      <c r="Q94" s="170"/>
      <c r="R94" s="171"/>
      <c r="S94" s="99" t="s">
        <v>7</v>
      </c>
      <c r="T94" s="230" t="s">
        <v>96</v>
      </c>
      <c r="U94" s="101" t="s">
        <v>42</v>
      </c>
      <c r="V94" s="102">
        <f>1/4.4</f>
        <v>0.22727272727272727</v>
      </c>
      <c r="W94" s="103"/>
      <c r="X94" s="104"/>
      <c r="Y94" s="105"/>
      <c r="Z94" s="103"/>
      <c r="AA94" s="104"/>
      <c r="AB94" s="105"/>
      <c r="AC94" s="103"/>
      <c r="AD94" s="106"/>
      <c r="AE94" s="99"/>
      <c r="AF94" s="107">
        <v>2</v>
      </c>
      <c r="AG94" s="108"/>
      <c r="AH94" s="109"/>
      <c r="AI94" s="107"/>
      <c r="AJ94" s="108"/>
      <c r="AK94" s="109"/>
      <c r="AL94" s="107"/>
      <c r="AM94" s="108"/>
      <c r="AN94" s="109"/>
      <c r="AO94" s="247"/>
      <c r="AP94" s="110"/>
      <c r="AQ94" s="111"/>
      <c r="AR94" s="129"/>
      <c r="AS94" s="334"/>
      <c r="AT94" s="428"/>
    </row>
    <row r="95" spans="1:46" s="280" customFormat="1" ht="15.75" customHeight="1">
      <c r="A95" s="12"/>
      <c r="B95" s="13"/>
      <c r="C95" s="14"/>
      <c r="D95" s="424"/>
      <c r="E95" s="15"/>
      <c r="F95" s="424"/>
      <c r="G95" s="388"/>
      <c r="H95" s="391"/>
      <c r="I95" s="16"/>
      <c r="J95" s="96"/>
      <c r="K95" s="16"/>
      <c r="L95" s="237" t="s">
        <v>280</v>
      </c>
      <c r="M95" s="19"/>
      <c r="N95" s="97"/>
      <c r="O95" s="98"/>
      <c r="P95" s="22"/>
      <c r="Q95" s="21"/>
      <c r="R95" s="23"/>
      <c r="S95" s="115" t="s">
        <v>8</v>
      </c>
      <c r="T95" s="286" t="s">
        <v>96</v>
      </c>
      <c r="U95" s="117" t="s">
        <v>42</v>
      </c>
      <c r="V95" s="118">
        <f>1/4.3</f>
        <v>0.23255813953488372</v>
      </c>
      <c r="W95" s="119"/>
      <c r="X95" s="120"/>
      <c r="Y95" s="121"/>
      <c r="Z95" s="119"/>
      <c r="AA95" s="120"/>
      <c r="AB95" s="121"/>
      <c r="AC95" s="119"/>
      <c r="AD95" s="122"/>
      <c r="AE95" s="115"/>
      <c r="AF95" s="124">
        <v>2.7</v>
      </c>
      <c r="AG95" s="125"/>
      <c r="AH95" s="126"/>
      <c r="AI95" s="124"/>
      <c r="AJ95" s="125"/>
      <c r="AK95" s="126"/>
      <c r="AL95" s="124"/>
      <c r="AM95" s="125"/>
      <c r="AN95" s="126"/>
      <c r="AO95" s="248"/>
      <c r="AP95" s="127"/>
      <c r="AQ95" s="128"/>
      <c r="AR95" s="137"/>
      <c r="AS95" s="287"/>
      <c r="AT95" s="425"/>
    </row>
    <row r="96" spans="1:46" s="280" customFormat="1" ht="15.75" customHeight="1">
      <c r="A96" s="12"/>
      <c r="B96" s="13"/>
      <c r="C96" s="14"/>
      <c r="D96" s="424"/>
      <c r="E96" s="15"/>
      <c r="F96" s="424"/>
      <c r="G96" s="388"/>
      <c r="H96" s="391"/>
      <c r="I96" s="16"/>
      <c r="J96" s="96"/>
      <c r="K96" s="16"/>
      <c r="L96" s="237"/>
      <c r="M96" s="19"/>
      <c r="N96" s="97"/>
      <c r="O96" s="98"/>
      <c r="P96" s="22"/>
      <c r="Q96" s="21"/>
      <c r="R96" s="23"/>
      <c r="S96" s="115" t="s">
        <v>0</v>
      </c>
      <c r="T96" s="286" t="s">
        <v>97</v>
      </c>
      <c r="U96" s="117" t="s">
        <v>42</v>
      </c>
      <c r="V96" s="118">
        <f>1/4.4</f>
        <v>0.22727272727272727</v>
      </c>
      <c r="W96" s="119">
        <f>1/12.45</f>
        <v>8.0321285140562249E-2</v>
      </c>
      <c r="X96" s="120">
        <f>1/20.2</f>
        <v>4.9504950495049507E-2</v>
      </c>
      <c r="Y96" s="121"/>
      <c r="Z96" s="119"/>
      <c r="AA96" s="120"/>
      <c r="AB96" s="121"/>
      <c r="AC96" s="119"/>
      <c r="AD96" s="122"/>
      <c r="AE96" s="115"/>
      <c r="AF96" s="124">
        <v>2.2999999999999998</v>
      </c>
      <c r="AG96" s="125">
        <v>2.8</v>
      </c>
      <c r="AH96" s="126">
        <v>2.2999999999999998</v>
      </c>
      <c r="AI96" s="124"/>
      <c r="AJ96" s="125"/>
      <c r="AK96" s="126"/>
      <c r="AL96" s="124"/>
      <c r="AM96" s="125"/>
      <c r="AN96" s="126"/>
      <c r="AO96" s="248"/>
      <c r="AP96" s="127"/>
      <c r="AQ96" s="128"/>
      <c r="AR96" s="137"/>
      <c r="AS96" s="287"/>
      <c r="AT96" s="425"/>
    </row>
    <row r="97" spans="1:46" s="280" customFormat="1" ht="15.75" customHeight="1">
      <c r="A97" s="38"/>
      <c r="B97" s="39"/>
      <c r="C97" s="40"/>
      <c r="D97" s="41"/>
      <c r="E97" s="42"/>
      <c r="F97" s="41"/>
      <c r="G97" s="385"/>
      <c r="H97" s="43"/>
      <c r="I97" s="44"/>
      <c r="J97" s="45"/>
      <c r="K97" s="44"/>
      <c r="L97" s="238"/>
      <c r="M97" s="47"/>
      <c r="N97" s="48"/>
      <c r="O97" s="49"/>
      <c r="P97" s="50"/>
      <c r="Q97" s="51"/>
      <c r="R97" s="52"/>
      <c r="S97" s="123" t="s">
        <v>1</v>
      </c>
      <c r="T97" s="290" t="s">
        <v>97</v>
      </c>
      <c r="U97" s="291" t="s">
        <v>42</v>
      </c>
      <c r="V97" s="292">
        <f>1/4.25</f>
        <v>0.23529411764705882</v>
      </c>
      <c r="W97" s="293">
        <f>1/11</f>
        <v>9.0909090909090912E-2</v>
      </c>
      <c r="X97" s="294"/>
      <c r="Y97" s="295"/>
      <c r="Z97" s="293"/>
      <c r="AA97" s="294"/>
      <c r="AB97" s="295"/>
      <c r="AC97" s="293"/>
      <c r="AD97" s="296"/>
      <c r="AE97" s="123"/>
      <c r="AF97" s="297">
        <v>5.2</v>
      </c>
      <c r="AG97" s="298">
        <v>3.8</v>
      </c>
      <c r="AH97" s="299"/>
      <c r="AI97" s="297"/>
      <c r="AJ97" s="298"/>
      <c r="AK97" s="299"/>
      <c r="AL97" s="297"/>
      <c r="AM97" s="298"/>
      <c r="AN97" s="299"/>
      <c r="AO97" s="370"/>
      <c r="AP97" s="300"/>
      <c r="AQ97" s="301"/>
      <c r="AR97" s="302"/>
      <c r="AS97" s="319"/>
      <c r="AT97" s="422"/>
    </row>
    <row r="98" spans="1:46" s="7" customFormat="1" ht="15.75" customHeight="1">
      <c r="A98" s="210"/>
      <c r="B98" s="211"/>
      <c r="C98" s="211"/>
      <c r="D98" s="212"/>
      <c r="E98" s="212"/>
      <c r="F98" s="212"/>
      <c r="G98" s="213"/>
      <c r="H98" s="558"/>
      <c r="I98" s="558"/>
      <c r="J98" s="558"/>
      <c r="K98" s="558"/>
      <c r="L98" s="241"/>
      <c r="M98" s="559"/>
      <c r="N98" s="559"/>
      <c r="O98" s="559"/>
      <c r="P98" s="215"/>
      <c r="Q98" s="215"/>
      <c r="R98" s="215"/>
      <c r="S98" s="213"/>
      <c r="T98" s="211"/>
      <c r="U98" s="211"/>
      <c r="V98" s="560"/>
      <c r="W98" s="560"/>
      <c r="X98" s="560"/>
      <c r="Y98" s="560"/>
      <c r="Z98" s="560"/>
      <c r="AA98" s="560"/>
      <c r="AB98" s="560"/>
      <c r="AC98" s="560"/>
      <c r="AD98" s="560"/>
      <c r="AE98" s="211"/>
      <c r="AF98" s="216"/>
      <c r="AG98" s="215"/>
      <c r="AH98" s="215"/>
      <c r="AI98" s="215"/>
      <c r="AJ98" s="215"/>
      <c r="AK98" s="215"/>
      <c r="AL98" s="215"/>
      <c r="AM98" s="215"/>
      <c r="AN98" s="215"/>
      <c r="AO98" s="373"/>
      <c r="AP98" s="215"/>
      <c r="AQ98" s="215"/>
      <c r="AR98" s="215"/>
      <c r="AS98" s="213"/>
      <c r="AT98" s="217"/>
    </row>
    <row r="99" spans="1:46" ht="15.75" customHeight="1">
      <c r="A99" s="38" t="s">
        <v>173</v>
      </c>
      <c r="B99" s="39" t="s">
        <v>68</v>
      </c>
      <c r="C99" s="40">
        <v>1971</v>
      </c>
      <c r="D99" s="218" t="s">
        <v>12</v>
      </c>
      <c r="E99" s="218" t="s">
        <v>12</v>
      </c>
      <c r="F99" s="219" t="s">
        <v>12</v>
      </c>
      <c r="G99" s="385">
        <v>141.69999999999999</v>
      </c>
      <c r="H99" s="43">
        <v>5.5</v>
      </c>
      <c r="I99" s="44" t="s">
        <v>314</v>
      </c>
      <c r="J99" s="45">
        <v>5.5</v>
      </c>
      <c r="K99" s="44" t="s">
        <v>271</v>
      </c>
      <c r="L99" s="238" t="s">
        <v>277</v>
      </c>
      <c r="M99" s="47"/>
      <c r="N99" s="316"/>
      <c r="O99" s="317"/>
      <c r="P99" s="50">
        <v>3.05</v>
      </c>
      <c r="Q99" s="51"/>
      <c r="R99" s="52">
        <v>1</v>
      </c>
      <c r="S99" s="39" t="s">
        <v>12</v>
      </c>
      <c r="T99" s="54" t="s">
        <v>93</v>
      </c>
      <c r="U99" s="196" t="s">
        <v>26</v>
      </c>
      <c r="V99" s="55">
        <v>2.67</v>
      </c>
      <c r="W99" s="56">
        <v>0.77</v>
      </c>
      <c r="X99" s="51">
        <v>0.45</v>
      </c>
      <c r="Y99" s="57">
        <v>2.5499999999999998</v>
      </c>
      <c r="Z99" s="56">
        <v>0.71</v>
      </c>
      <c r="AA99" s="51">
        <v>0.43</v>
      </c>
      <c r="AB99" s="57" t="s">
        <v>12</v>
      </c>
      <c r="AC99" s="56" t="s">
        <v>12</v>
      </c>
      <c r="AD99" s="58" t="s">
        <v>12</v>
      </c>
      <c r="AE99" s="39"/>
      <c r="AF99" s="146">
        <v>0.5</v>
      </c>
      <c r="AG99" s="144" t="s">
        <v>12</v>
      </c>
      <c r="AH99" s="145" t="s">
        <v>12</v>
      </c>
      <c r="AI99" s="146">
        <v>0.5</v>
      </c>
      <c r="AJ99" s="144" t="s">
        <v>12</v>
      </c>
      <c r="AK99" s="145" t="s">
        <v>12</v>
      </c>
      <c r="AL99" s="146" t="s">
        <v>12</v>
      </c>
      <c r="AM99" s="144" t="s">
        <v>12</v>
      </c>
      <c r="AN99" s="145" t="s">
        <v>12</v>
      </c>
      <c r="AO99" s="250" t="s">
        <v>289</v>
      </c>
      <c r="AP99" s="335" t="s">
        <v>11</v>
      </c>
      <c r="AQ99" s="44"/>
      <c r="AR99" s="220"/>
      <c r="AS99" s="221"/>
      <c r="AT99" s="222"/>
    </row>
    <row r="100" spans="1:46" ht="15.75" customHeight="1">
      <c r="A100" s="157" t="s">
        <v>174</v>
      </c>
      <c r="B100" s="158"/>
      <c r="C100" s="159">
        <v>1971</v>
      </c>
      <c r="D100" s="224"/>
      <c r="E100" s="224"/>
      <c r="F100" s="225"/>
      <c r="G100" s="386">
        <v>82.5</v>
      </c>
      <c r="H100" s="162"/>
      <c r="I100" s="163"/>
      <c r="J100" s="164"/>
      <c r="K100" s="163"/>
      <c r="L100" s="240" t="s">
        <v>277</v>
      </c>
      <c r="M100" s="166"/>
      <c r="N100" s="197"/>
      <c r="O100" s="198"/>
      <c r="P100" s="169"/>
      <c r="Q100" s="170"/>
      <c r="R100" s="171"/>
      <c r="S100" s="172">
        <v>1</v>
      </c>
      <c r="T100" s="9" t="s">
        <v>86</v>
      </c>
      <c r="U100" s="310"/>
      <c r="V100" s="174">
        <f>1/1.185</f>
        <v>0.8438818565400843</v>
      </c>
      <c r="W100" s="175" t="s">
        <v>99</v>
      </c>
      <c r="X100" s="176" t="s">
        <v>99</v>
      </c>
      <c r="Y100" s="175" t="s">
        <v>99</v>
      </c>
      <c r="Z100" s="175" t="s">
        <v>99</v>
      </c>
      <c r="AA100" s="176" t="s">
        <v>99</v>
      </c>
      <c r="AB100" s="175" t="s">
        <v>99</v>
      </c>
      <c r="AC100" s="175" t="s">
        <v>99</v>
      </c>
      <c r="AD100" s="315" t="s">
        <v>99</v>
      </c>
      <c r="AE100" s="172" t="s">
        <v>90</v>
      </c>
      <c r="AF100" s="277">
        <v>0.35</v>
      </c>
      <c r="AG100" s="277" t="s">
        <v>99</v>
      </c>
      <c r="AH100" s="180" t="s">
        <v>99</v>
      </c>
      <c r="AI100" s="277" t="s">
        <v>99</v>
      </c>
      <c r="AJ100" s="277" t="s">
        <v>99</v>
      </c>
      <c r="AK100" s="180" t="s">
        <v>99</v>
      </c>
      <c r="AL100" s="277" t="s">
        <v>99</v>
      </c>
      <c r="AM100" s="277" t="s">
        <v>99</v>
      </c>
      <c r="AN100" s="180" t="s">
        <v>99</v>
      </c>
      <c r="AO100" s="252" t="s">
        <v>289</v>
      </c>
      <c r="AP100" s="181"/>
      <c r="AQ100" s="182"/>
      <c r="AR100" s="112" t="s">
        <v>99</v>
      </c>
      <c r="AS100" s="113"/>
      <c r="AT100" s="114"/>
    </row>
    <row r="101" spans="1:46" ht="15.75" customHeight="1">
      <c r="A101" s="38"/>
      <c r="B101" s="39"/>
      <c r="C101" s="40"/>
      <c r="D101" s="218"/>
      <c r="E101" s="218"/>
      <c r="F101" s="219"/>
      <c r="G101" s="385"/>
      <c r="H101" s="43"/>
      <c r="I101" s="44"/>
      <c r="J101" s="45"/>
      <c r="K101" s="44"/>
      <c r="L101" s="238"/>
      <c r="M101" s="47"/>
      <c r="N101" s="316"/>
      <c r="O101" s="317"/>
      <c r="P101" s="50"/>
      <c r="Q101" s="51"/>
      <c r="R101" s="52"/>
      <c r="S101" s="53">
        <v>2</v>
      </c>
      <c r="T101" s="149" t="s">
        <v>83</v>
      </c>
      <c r="U101" s="150"/>
      <c r="V101" s="151">
        <f>1/1.18</f>
        <v>0.84745762711864414</v>
      </c>
      <c r="W101" s="139" t="s">
        <v>99</v>
      </c>
      <c r="X101" s="140" t="s">
        <v>99</v>
      </c>
      <c r="Y101" s="139" t="s">
        <v>99</v>
      </c>
      <c r="Z101" s="139" t="s">
        <v>99</v>
      </c>
      <c r="AA101" s="140" t="s">
        <v>99</v>
      </c>
      <c r="AB101" s="139" t="s">
        <v>99</v>
      </c>
      <c r="AC101" s="139" t="s">
        <v>99</v>
      </c>
      <c r="AD101" s="318" t="s">
        <v>99</v>
      </c>
      <c r="AE101" s="53" t="s">
        <v>90</v>
      </c>
      <c r="AF101" s="60">
        <v>0.5</v>
      </c>
      <c r="AG101" s="60" t="s">
        <v>99</v>
      </c>
      <c r="AH101" s="189" t="s">
        <v>99</v>
      </c>
      <c r="AI101" s="60" t="s">
        <v>99</v>
      </c>
      <c r="AJ101" s="60" t="s">
        <v>99</v>
      </c>
      <c r="AK101" s="189" t="s">
        <v>99</v>
      </c>
      <c r="AL101" s="60" t="s">
        <v>99</v>
      </c>
      <c r="AM101" s="60" t="s">
        <v>99</v>
      </c>
      <c r="AN101" s="189" t="s">
        <v>99</v>
      </c>
      <c r="AO101" s="245" t="s">
        <v>289</v>
      </c>
      <c r="AP101" s="62"/>
      <c r="AQ101" s="63"/>
      <c r="AR101" s="64" t="s">
        <v>99</v>
      </c>
      <c r="AS101" s="65"/>
      <c r="AT101" s="66"/>
    </row>
    <row r="102" spans="1:46" ht="15.75" customHeight="1">
      <c r="A102" s="12" t="s">
        <v>175</v>
      </c>
      <c r="B102" s="13" t="s">
        <v>71</v>
      </c>
      <c r="C102" s="14"/>
      <c r="D102" s="223" t="s">
        <v>12</v>
      </c>
      <c r="E102" s="224" t="s">
        <v>12</v>
      </c>
      <c r="F102" s="225" t="s">
        <v>12</v>
      </c>
      <c r="G102" s="388">
        <v>70</v>
      </c>
      <c r="H102" s="391">
        <v>3.75</v>
      </c>
      <c r="I102" s="16" t="s">
        <v>314</v>
      </c>
      <c r="J102" s="96">
        <v>3.75</v>
      </c>
      <c r="L102" s="237" t="s">
        <v>277</v>
      </c>
      <c r="M102" s="19"/>
      <c r="N102" s="154"/>
      <c r="O102" s="155"/>
      <c r="P102" s="22">
        <v>0.95199999999999996</v>
      </c>
      <c r="Q102" s="21">
        <v>0.95199999999999996</v>
      </c>
      <c r="R102" s="23">
        <v>2</v>
      </c>
      <c r="S102" s="99" t="s">
        <v>7</v>
      </c>
      <c r="T102" s="165" t="s">
        <v>84</v>
      </c>
      <c r="U102" s="166" t="s">
        <v>100</v>
      </c>
      <c r="V102" s="201">
        <v>1.0529999999999999</v>
      </c>
      <c r="W102" s="202">
        <v>0.28399999999999997</v>
      </c>
      <c r="X102" s="170" t="s">
        <v>12</v>
      </c>
      <c r="Y102" s="203">
        <v>1.0529999999999999</v>
      </c>
      <c r="Z102" s="202">
        <v>0.28399999999999997</v>
      </c>
      <c r="AA102" s="170" t="s">
        <v>12</v>
      </c>
      <c r="AB102" s="203">
        <v>0.38200000000000001</v>
      </c>
      <c r="AC102" s="202">
        <v>0.14599999999999999</v>
      </c>
      <c r="AD102" s="204" t="s">
        <v>12</v>
      </c>
      <c r="AE102" s="158" t="s">
        <v>90</v>
      </c>
      <c r="AF102" s="135">
        <v>0.44</v>
      </c>
      <c r="AG102" s="108" t="s">
        <v>12</v>
      </c>
      <c r="AH102" s="109" t="s">
        <v>12</v>
      </c>
      <c r="AI102" s="107" t="s">
        <v>12</v>
      </c>
      <c r="AJ102" s="108" t="s">
        <v>12</v>
      </c>
      <c r="AK102" s="109" t="s">
        <v>12</v>
      </c>
      <c r="AL102" s="135">
        <v>0.25</v>
      </c>
      <c r="AM102" s="108" t="s">
        <v>12</v>
      </c>
      <c r="AN102" s="109" t="s">
        <v>12</v>
      </c>
      <c r="AO102" s="247"/>
      <c r="AP102" s="110"/>
      <c r="AQ102" s="111"/>
      <c r="AR102" s="129"/>
      <c r="AS102" s="183" t="s">
        <v>395</v>
      </c>
      <c r="AT102" s="184"/>
    </row>
    <row r="103" spans="1:46" ht="15.75" customHeight="1">
      <c r="A103" s="12"/>
      <c r="B103" s="13"/>
      <c r="C103" s="14"/>
      <c r="D103" s="424"/>
      <c r="E103" s="15"/>
      <c r="F103" s="424"/>
      <c r="G103" s="388"/>
      <c r="H103" s="391"/>
      <c r="J103" s="96"/>
      <c r="L103" s="237"/>
      <c r="M103" s="19"/>
      <c r="N103" s="154"/>
      <c r="O103" s="155"/>
      <c r="P103" s="22"/>
      <c r="Q103" s="21"/>
      <c r="R103" s="23"/>
      <c r="S103" s="115" t="s">
        <v>8</v>
      </c>
      <c r="T103" s="18"/>
      <c r="U103" s="18"/>
      <c r="V103" s="336"/>
      <c r="W103" s="337"/>
      <c r="X103" s="21"/>
      <c r="Y103" s="338"/>
      <c r="Z103" s="337"/>
      <c r="AA103" s="21"/>
      <c r="AB103" s="338"/>
      <c r="AC103" s="337"/>
      <c r="AD103" s="339"/>
      <c r="AE103" s="99"/>
      <c r="AF103" s="135">
        <v>0.39</v>
      </c>
      <c r="AG103" s="125" t="s">
        <v>12</v>
      </c>
      <c r="AH103" s="126" t="s">
        <v>12</v>
      </c>
      <c r="AI103" s="124" t="s">
        <v>12</v>
      </c>
      <c r="AJ103" s="125" t="s">
        <v>12</v>
      </c>
      <c r="AK103" s="126" t="s">
        <v>12</v>
      </c>
      <c r="AL103" s="135">
        <v>0.22</v>
      </c>
      <c r="AM103" s="125" t="s">
        <v>12</v>
      </c>
      <c r="AN103" s="126" t="s">
        <v>12</v>
      </c>
      <c r="AO103" s="247"/>
      <c r="AP103" s="110"/>
      <c r="AQ103" s="111"/>
      <c r="AR103" s="129"/>
      <c r="AS103" s="130" t="s">
        <v>396</v>
      </c>
      <c r="AT103" s="131"/>
    </row>
    <row r="104" spans="1:46" ht="15.75" customHeight="1">
      <c r="A104" s="12"/>
      <c r="B104" s="13"/>
      <c r="C104" s="14"/>
      <c r="D104" s="424"/>
      <c r="E104" s="15"/>
      <c r="F104" s="424"/>
      <c r="G104" s="388"/>
      <c r="H104" s="391"/>
      <c r="J104" s="96"/>
      <c r="L104" s="237"/>
      <c r="M104" s="19"/>
      <c r="N104" s="154"/>
      <c r="O104" s="155"/>
      <c r="P104" s="22"/>
      <c r="Q104" s="21"/>
      <c r="R104" s="23"/>
      <c r="S104" s="99" t="s">
        <v>9</v>
      </c>
      <c r="T104" s="18"/>
      <c r="U104" s="18"/>
      <c r="V104" s="336"/>
      <c r="W104" s="337"/>
      <c r="X104" s="21"/>
      <c r="Y104" s="338"/>
      <c r="Z104" s="337"/>
      <c r="AA104" s="21"/>
      <c r="AB104" s="338"/>
      <c r="AC104" s="337"/>
      <c r="AD104" s="339"/>
      <c r="AE104" s="382" t="s">
        <v>252</v>
      </c>
      <c r="AF104" s="135">
        <v>0.66</v>
      </c>
      <c r="AG104" s="125" t="s">
        <v>12</v>
      </c>
      <c r="AH104" s="185" t="s">
        <v>12</v>
      </c>
      <c r="AI104" s="124" t="s">
        <v>12</v>
      </c>
      <c r="AJ104" s="125" t="s">
        <v>12</v>
      </c>
      <c r="AK104" s="126" t="s">
        <v>12</v>
      </c>
      <c r="AL104" s="135">
        <v>0.28999999999999998</v>
      </c>
      <c r="AM104" s="125" t="s">
        <v>12</v>
      </c>
      <c r="AN104" s="126" t="s">
        <v>12</v>
      </c>
      <c r="AO104" s="247"/>
      <c r="AP104" s="110"/>
      <c r="AQ104" s="111"/>
      <c r="AR104" s="129"/>
      <c r="AS104" s="183" t="s">
        <v>395</v>
      </c>
      <c r="AT104" s="184"/>
    </row>
    <row r="105" spans="1:46" ht="15.75" customHeight="1">
      <c r="A105" s="38"/>
      <c r="B105" s="39"/>
      <c r="C105" s="40"/>
      <c r="D105" s="41"/>
      <c r="E105" s="42"/>
      <c r="F105" s="41"/>
      <c r="G105" s="385"/>
      <c r="H105" s="43"/>
      <c r="I105" s="44"/>
      <c r="J105" s="45"/>
      <c r="K105" s="44"/>
      <c r="L105" s="238"/>
      <c r="M105" s="47"/>
      <c r="N105" s="316"/>
      <c r="O105" s="317"/>
      <c r="P105" s="50"/>
      <c r="Q105" s="51"/>
      <c r="R105" s="52"/>
      <c r="S105" s="39" t="s">
        <v>10</v>
      </c>
      <c r="T105" s="54"/>
      <c r="U105" s="46"/>
      <c r="V105" s="55"/>
      <c r="W105" s="56"/>
      <c r="X105" s="51"/>
      <c r="Y105" s="57"/>
      <c r="Z105" s="56"/>
      <c r="AA105" s="51"/>
      <c r="AB105" s="57"/>
      <c r="AC105" s="56"/>
      <c r="AD105" s="58"/>
      <c r="AE105" s="39"/>
      <c r="AF105" s="135">
        <v>0.41</v>
      </c>
      <c r="AG105" s="60" t="s">
        <v>12</v>
      </c>
      <c r="AH105" s="189" t="s">
        <v>12</v>
      </c>
      <c r="AI105" s="59" t="s">
        <v>12</v>
      </c>
      <c r="AJ105" s="60" t="s">
        <v>12</v>
      </c>
      <c r="AK105" s="61" t="s">
        <v>12</v>
      </c>
      <c r="AL105" s="135">
        <v>0.19</v>
      </c>
      <c r="AM105" s="60" t="s">
        <v>12</v>
      </c>
      <c r="AN105" s="61" t="s">
        <v>12</v>
      </c>
      <c r="AO105" s="245"/>
      <c r="AP105" s="62"/>
      <c r="AQ105" s="63"/>
      <c r="AR105" s="64"/>
      <c r="AS105" s="221" t="s">
        <v>396</v>
      </c>
      <c r="AT105" s="222"/>
    </row>
    <row r="106" spans="1:46" s="280" customFormat="1" ht="15.75" customHeight="1">
      <c r="A106" s="67" t="s">
        <v>176</v>
      </c>
      <c r="B106" s="68"/>
      <c r="C106" s="69"/>
      <c r="D106" s="70" t="s">
        <v>38</v>
      </c>
      <c r="E106" s="71" t="s">
        <v>38</v>
      </c>
      <c r="F106" s="70" t="s">
        <v>38</v>
      </c>
      <c r="G106" s="387">
        <v>69</v>
      </c>
      <c r="H106" s="72">
        <v>24</v>
      </c>
      <c r="I106" s="73" t="s">
        <v>314</v>
      </c>
      <c r="J106" s="74">
        <v>24</v>
      </c>
      <c r="K106" s="73"/>
      <c r="L106" s="239" t="s">
        <v>279</v>
      </c>
      <c r="M106" s="76"/>
      <c r="N106" s="77"/>
      <c r="O106" s="78"/>
      <c r="P106" s="79"/>
      <c r="Q106" s="80"/>
      <c r="R106" s="81"/>
      <c r="S106" s="68"/>
      <c r="T106" s="283" t="s">
        <v>97</v>
      </c>
      <c r="U106" s="83" t="s">
        <v>42</v>
      </c>
      <c r="V106" s="84">
        <v>0.9</v>
      </c>
      <c r="W106" s="85">
        <v>0.27800000000000002</v>
      </c>
      <c r="X106" s="80">
        <v>0.45</v>
      </c>
      <c r="Y106" s="86"/>
      <c r="Z106" s="85"/>
      <c r="AA106" s="80"/>
      <c r="AB106" s="86"/>
      <c r="AC106" s="85"/>
      <c r="AD106" s="87"/>
      <c r="AE106" s="68"/>
      <c r="AF106" s="88">
        <v>1</v>
      </c>
      <c r="AG106" s="89"/>
      <c r="AH106" s="90"/>
      <c r="AI106" s="88"/>
      <c r="AJ106" s="89"/>
      <c r="AK106" s="90"/>
      <c r="AL106" s="88"/>
      <c r="AM106" s="89"/>
      <c r="AN106" s="90"/>
      <c r="AO106" s="246"/>
      <c r="AP106" s="91"/>
      <c r="AQ106" s="73"/>
      <c r="AR106" s="92"/>
      <c r="AS106" s="93"/>
      <c r="AT106" s="94"/>
    </row>
    <row r="107" spans="1:46" ht="15.75" customHeight="1">
      <c r="A107" s="67" t="s">
        <v>177</v>
      </c>
      <c r="B107" s="68" t="s">
        <v>72</v>
      </c>
      <c r="C107" s="69"/>
      <c r="D107" s="218" t="s">
        <v>12</v>
      </c>
      <c r="E107" s="218" t="s">
        <v>12</v>
      </c>
      <c r="F107" s="219" t="s">
        <v>12</v>
      </c>
      <c r="G107" s="387">
        <v>60</v>
      </c>
      <c r="H107" s="72">
        <v>15</v>
      </c>
      <c r="I107" s="73" t="s">
        <v>314</v>
      </c>
      <c r="J107" s="74">
        <v>15</v>
      </c>
      <c r="K107" s="73"/>
      <c r="L107" s="239" t="s">
        <v>277</v>
      </c>
      <c r="M107" s="76"/>
      <c r="N107" s="152"/>
      <c r="O107" s="95"/>
      <c r="P107" s="79"/>
      <c r="Q107" s="80"/>
      <c r="R107" s="81"/>
      <c r="S107" s="68" t="s">
        <v>12</v>
      </c>
      <c r="T107" s="82"/>
      <c r="U107" s="76"/>
      <c r="V107" s="84">
        <v>0.92600000000000005</v>
      </c>
      <c r="W107" s="85" t="s">
        <v>12</v>
      </c>
      <c r="X107" s="80" t="s">
        <v>12</v>
      </c>
      <c r="Y107" s="86">
        <v>0.92600000000000005</v>
      </c>
      <c r="Z107" s="85" t="s">
        <v>12</v>
      </c>
      <c r="AA107" s="80" t="s">
        <v>12</v>
      </c>
      <c r="AB107" s="86">
        <v>0.45</v>
      </c>
      <c r="AC107" s="85" t="s">
        <v>12</v>
      </c>
      <c r="AD107" s="87" t="s">
        <v>12</v>
      </c>
      <c r="AE107" s="68"/>
      <c r="AF107" s="88">
        <v>1</v>
      </c>
      <c r="AG107" s="89" t="s">
        <v>12</v>
      </c>
      <c r="AH107" s="90" t="s">
        <v>12</v>
      </c>
      <c r="AI107" s="88">
        <v>0.9</v>
      </c>
      <c r="AJ107" s="89" t="s">
        <v>12</v>
      </c>
      <c r="AK107" s="90" t="s">
        <v>12</v>
      </c>
      <c r="AL107" s="88">
        <v>0.5</v>
      </c>
      <c r="AM107" s="89" t="s">
        <v>12</v>
      </c>
      <c r="AN107" s="90" t="s">
        <v>12</v>
      </c>
      <c r="AO107" s="246"/>
      <c r="AP107" s="91"/>
      <c r="AQ107" s="73"/>
      <c r="AR107" s="92"/>
      <c r="AS107" s="93"/>
      <c r="AT107" s="94"/>
    </row>
    <row r="108" spans="1:46" ht="15.75" customHeight="1">
      <c r="A108" s="67" t="s">
        <v>178</v>
      </c>
      <c r="B108" s="68" t="s">
        <v>68</v>
      </c>
      <c r="C108" s="69"/>
      <c r="D108" s="218" t="s">
        <v>12</v>
      </c>
      <c r="E108" s="218" t="s">
        <v>12</v>
      </c>
      <c r="F108" s="219" t="s">
        <v>12</v>
      </c>
      <c r="G108" s="387">
        <v>55</v>
      </c>
      <c r="H108" s="72">
        <v>14</v>
      </c>
      <c r="I108" s="73" t="s">
        <v>314</v>
      </c>
      <c r="J108" s="74">
        <v>14</v>
      </c>
      <c r="K108" s="73"/>
      <c r="L108" s="239" t="s">
        <v>277</v>
      </c>
      <c r="M108" s="76"/>
      <c r="N108" s="152"/>
      <c r="O108" s="95"/>
      <c r="P108" s="79"/>
      <c r="Q108" s="80"/>
      <c r="R108" s="81"/>
      <c r="S108" s="68" t="s">
        <v>12</v>
      </c>
      <c r="T108" s="82"/>
      <c r="U108" s="76"/>
      <c r="V108" s="84">
        <v>0.65400000000000003</v>
      </c>
      <c r="W108" s="85" t="s">
        <v>12</v>
      </c>
      <c r="X108" s="80" t="s">
        <v>12</v>
      </c>
      <c r="Y108" s="86">
        <v>0.64100000000000001</v>
      </c>
      <c r="Z108" s="85" t="s">
        <v>12</v>
      </c>
      <c r="AA108" s="80" t="s">
        <v>12</v>
      </c>
      <c r="AB108" s="86">
        <v>0.33</v>
      </c>
      <c r="AC108" s="85" t="s">
        <v>12</v>
      </c>
      <c r="AD108" s="87" t="s">
        <v>12</v>
      </c>
      <c r="AE108" s="68"/>
      <c r="AF108" s="88">
        <v>0.3</v>
      </c>
      <c r="AG108" s="89" t="s">
        <v>12</v>
      </c>
      <c r="AH108" s="90" t="s">
        <v>12</v>
      </c>
      <c r="AI108" s="88">
        <v>0.3</v>
      </c>
      <c r="AJ108" s="89" t="s">
        <v>12</v>
      </c>
      <c r="AK108" s="90" t="s">
        <v>12</v>
      </c>
      <c r="AL108" s="88">
        <v>0.3</v>
      </c>
      <c r="AM108" s="89" t="s">
        <v>12</v>
      </c>
      <c r="AN108" s="90" t="s">
        <v>12</v>
      </c>
      <c r="AO108" s="246"/>
      <c r="AP108" s="91"/>
      <c r="AQ108" s="73"/>
      <c r="AR108" s="92"/>
      <c r="AS108" s="93"/>
      <c r="AT108" s="94"/>
    </row>
    <row r="109" spans="1:46" ht="15.75" customHeight="1">
      <c r="A109" s="157" t="s">
        <v>179</v>
      </c>
      <c r="B109" s="158"/>
      <c r="C109" s="159">
        <v>1970</v>
      </c>
      <c r="D109" s="224"/>
      <c r="E109" s="224"/>
      <c r="F109" s="225"/>
      <c r="G109" s="386">
        <v>54.2</v>
      </c>
      <c r="H109" s="162"/>
      <c r="I109" s="163"/>
      <c r="J109" s="164"/>
      <c r="K109" s="163"/>
      <c r="L109" s="240" t="s">
        <v>277</v>
      </c>
      <c r="M109" s="166"/>
      <c r="N109" s="197"/>
      <c r="O109" s="198"/>
      <c r="P109" s="169"/>
      <c r="Q109" s="170"/>
      <c r="R109" s="171"/>
      <c r="S109" s="172">
        <v>1</v>
      </c>
      <c r="T109" s="9" t="s">
        <v>86</v>
      </c>
      <c r="U109" s="310"/>
      <c r="V109" s="174">
        <f>1/1.475</f>
        <v>0.67796610169491522</v>
      </c>
      <c r="W109" s="175" t="s">
        <v>99</v>
      </c>
      <c r="X109" s="176" t="s">
        <v>99</v>
      </c>
      <c r="Y109" s="175" t="s">
        <v>99</v>
      </c>
      <c r="Z109" s="175" t="s">
        <v>99</v>
      </c>
      <c r="AA109" s="176" t="s">
        <v>99</v>
      </c>
      <c r="AB109" s="175" t="s">
        <v>99</v>
      </c>
      <c r="AC109" s="175" t="s">
        <v>99</v>
      </c>
      <c r="AD109" s="315" t="s">
        <v>99</v>
      </c>
      <c r="AE109" s="172" t="s">
        <v>90</v>
      </c>
      <c r="AF109" s="277">
        <v>0.6</v>
      </c>
      <c r="AG109" s="277" t="s">
        <v>99</v>
      </c>
      <c r="AH109" s="180" t="s">
        <v>99</v>
      </c>
      <c r="AI109" s="277" t="s">
        <v>99</v>
      </c>
      <c r="AJ109" s="277" t="s">
        <v>99</v>
      </c>
      <c r="AK109" s="180" t="s">
        <v>99</v>
      </c>
      <c r="AL109" s="277" t="s">
        <v>99</v>
      </c>
      <c r="AM109" s="277" t="s">
        <v>99</v>
      </c>
      <c r="AN109" s="180" t="s">
        <v>99</v>
      </c>
      <c r="AO109" s="252" t="s">
        <v>289</v>
      </c>
      <c r="AP109" s="181"/>
      <c r="AQ109" s="182"/>
      <c r="AR109" s="112" t="s">
        <v>99</v>
      </c>
      <c r="AS109" s="113"/>
      <c r="AT109" s="114"/>
    </row>
    <row r="110" spans="1:46" ht="15.75" customHeight="1">
      <c r="A110" s="38"/>
      <c r="B110" s="39"/>
      <c r="C110" s="40"/>
      <c r="D110" s="218"/>
      <c r="E110" s="218"/>
      <c r="F110" s="219"/>
      <c r="G110" s="385"/>
      <c r="H110" s="43"/>
      <c r="I110" s="44"/>
      <c r="J110" s="45"/>
      <c r="K110" s="44"/>
      <c r="L110" s="238"/>
      <c r="M110" s="47"/>
      <c r="N110" s="316"/>
      <c r="O110" s="317"/>
      <c r="P110" s="50"/>
      <c r="Q110" s="51"/>
      <c r="R110" s="52"/>
      <c r="S110" s="53">
        <v>2</v>
      </c>
      <c r="T110" s="149" t="s">
        <v>83</v>
      </c>
      <c r="U110" s="150"/>
      <c r="V110" s="151">
        <f>1/1.47</f>
        <v>0.68027210884353739</v>
      </c>
      <c r="W110" s="139" t="s">
        <v>99</v>
      </c>
      <c r="X110" s="140" t="s">
        <v>99</v>
      </c>
      <c r="Y110" s="139" t="s">
        <v>99</v>
      </c>
      <c r="Z110" s="139" t="s">
        <v>99</v>
      </c>
      <c r="AA110" s="140" t="s">
        <v>99</v>
      </c>
      <c r="AB110" s="139" t="s">
        <v>99</v>
      </c>
      <c r="AC110" s="139" t="s">
        <v>99</v>
      </c>
      <c r="AD110" s="318" t="s">
        <v>99</v>
      </c>
      <c r="AE110" s="53" t="s">
        <v>90</v>
      </c>
      <c r="AF110" s="60">
        <v>0.65</v>
      </c>
      <c r="AG110" s="60" t="s">
        <v>99</v>
      </c>
      <c r="AH110" s="189" t="s">
        <v>99</v>
      </c>
      <c r="AI110" s="60" t="s">
        <v>99</v>
      </c>
      <c r="AJ110" s="60" t="s">
        <v>99</v>
      </c>
      <c r="AK110" s="189" t="s">
        <v>99</v>
      </c>
      <c r="AL110" s="60" t="s">
        <v>99</v>
      </c>
      <c r="AM110" s="60" t="s">
        <v>99</v>
      </c>
      <c r="AN110" s="189" t="s">
        <v>99</v>
      </c>
      <c r="AO110" s="245" t="s">
        <v>289</v>
      </c>
      <c r="AP110" s="62"/>
      <c r="AQ110" s="63"/>
      <c r="AR110" s="64" t="s">
        <v>99</v>
      </c>
      <c r="AS110" s="65"/>
      <c r="AT110" s="66"/>
    </row>
    <row r="111" spans="1:46" ht="15.75" customHeight="1">
      <c r="A111" s="157" t="s">
        <v>180</v>
      </c>
      <c r="B111" s="158"/>
      <c r="C111" s="159">
        <v>1967</v>
      </c>
      <c r="D111" s="224"/>
      <c r="E111" s="224"/>
      <c r="F111" s="225"/>
      <c r="G111" s="386">
        <v>50.3</v>
      </c>
      <c r="H111" s="162"/>
      <c r="I111" s="163"/>
      <c r="J111" s="164"/>
      <c r="K111" s="163"/>
      <c r="L111" s="240" t="s">
        <v>277</v>
      </c>
      <c r="M111" s="166"/>
      <c r="N111" s="197"/>
      <c r="O111" s="198"/>
      <c r="P111" s="169"/>
      <c r="Q111" s="170"/>
      <c r="R111" s="171"/>
      <c r="S111" s="172">
        <v>1</v>
      </c>
      <c r="T111" s="9" t="s">
        <v>86</v>
      </c>
      <c r="U111" s="310"/>
      <c r="V111" s="174">
        <f>1/1.195</f>
        <v>0.83682008368200833</v>
      </c>
      <c r="W111" s="175" t="s">
        <v>99</v>
      </c>
      <c r="X111" s="176" t="s">
        <v>99</v>
      </c>
      <c r="Y111" s="175" t="s">
        <v>99</v>
      </c>
      <c r="Z111" s="175" t="s">
        <v>99</v>
      </c>
      <c r="AA111" s="176" t="s">
        <v>99</v>
      </c>
      <c r="AB111" s="175" t="s">
        <v>99</v>
      </c>
      <c r="AC111" s="175" t="s">
        <v>99</v>
      </c>
      <c r="AD111" s="315" t="s">
        <v>99</v>
      </c>
      <c r="AE111" s="172" t="s">
        <v>90</v>
      </c>
      <c r="AF111" s="277">
        <v>0.8</v>
      </c>
      <c r="AG111" s="277" t="s">
        <v>99</v>
      </c>
      <c r="AH111" s="180" t="s">
        <v>99</v>
      </c>
      <c r="AI111" s="277" t="s">
        <v>99</v>
      </c>
      <c r="AJ111" s="277" t="s">
        <v>99</v>
      </c>
      <c r="AK111" s="180" t="s">
        <v>99</v>
      </c>
      <c r="AL111" s="277" t="s">
        <v>99</v>
      </c>
      <c r="AM111" s="277" t="s">
        <v>99</v>
      </c>
      <c r="AN111" s="180" t="s">
        <v>99</v>
      </c>
      <c r="AO111" s="252" t="s">
        <v>289</v>
      </c>
      <c r="AP111" s="181"/>
      <c r="AQ111" s="182"/>
      <c r="AR111" s="112" t="s">
        <v>99</v>
      </c>
      <c r="AS111" s="113"/>
      <c r="AT111" s="114"/>
    </row>
    <row r="112" spans="1:46" ht="15.75" customHeight="1">
      <c r="A112" s="38"/>
      <c r="B112" s="39"/>
      <c r="C112" s="40"/>
      <c r="D112" s="218"/>
      <c r="E112" s="218"/>
      <c r="F112" s="219"/>
      <c r="G112" s="385"/>
      <c r="H112" s="43"/>
      <c r="I112" s="44"/>
      <c r="J112" s="45"/>
      <c r="K112" s="44"/>
      <c r="L112" s="238"/>
      <c r="M112" s="47"/>
      <c r="N112" s="316"/>
      <c r="O112" s="317"/>
      <c r="P112" s="50"/>
      <c r="Q112" s="51"/>
      <c r="R112" s="52"/>
      <c r="S112" s="53">
        <v>2</v>
      </c>
      <c r="T112" s="149" t="s">
        <v>83</v>
      </c>
      <c r="U112" s="150"/>
      <c r="V112" s="151">
        <f>1/1.2</f>
        <v>0.83333333333333337</v>
      </c>
      <c r="W112" s="139" t="s">
        <v>99</v>
      </c>
      <c r="X112" s="140" t="s">
        <v>99</v>
      </c>
      <c r="Y112" s="139" t="s">
        <v>99</v>
      </c>
      <c r="Z112" s="139" t="s">
        <v>99</v>
      </c>
      <c r="AA112" s="140" t="s">
        <v>99</v>
      </c>
      <c r="AB112" s="139" t="s">
        <v>99</v>
      </c>
      <c r="AC112" s="139" t="s">
        <v>99</v>
      </c>
      <c r="AD112" s="318" t="s">
        <v>99</v>
      </c>
      <c r="AE112" s="53" t="s">
        <v>90</v>
      </c>
      <c r="AF112" s="60">
        <v>1.5</v>
      </c>
      <c r="AG112" s="60" t="s">
        <v>99</v>
      </c>
      <c r="AH112" s="189" t="s">
        <v>99</v>
      </c>
      <c r="AI112" s="60" t="s">
        <v>99</v>
      </c>
      <c r="AJ112" s="60" t="s">
        <v>99</v>
      </c>
      <c r="AK112" s="189" t="s">
        <v>99</v>
      </c>
      <c r="AL112" s="60" t="s">
        <v>99</v>
      </c>
      <c r="AM112" s="60" t="s">
        <v>99</v>
      </c>
      <c r="AN112" s="189" t="s">
        <v>99</v>
      </c>
      <c r="AO112" s="245" t="s">
        <v>289</v>
      </c>
      <c r="AP112" s="62"/>
      <c r="AQ112" s="63"/>
      <c r="AR112" s="64" t="s">
        <v>99</v>
      </c>
      <c r="AS112" s="65"/>
      <c r="AT112" s="66"/>
    </row>
    <row r="113" spans="1:46" ht="15.75" customHeight="1">
      <c r="A113" s="67" t="s">
        <v>181</v>
      </c>
      <c r="B113" s="68" t="s">
        <v>72</v>
      </c>
      <c r="C113" s="69"/>
      <c r="D113" s="218" t="s">
        <v>12</v>
      </c>
      <c r="E113" s="218" t="s">
        <v>12</v>
      </c>
      <c r="F113" s="219" t="s">
        <v>12</v>
      </c>
      <c r="G113" s="387">
        <v>50</v>
      </c>
      <c r="H113" s="72">
        <v>18</v>
      </c>
      <c r="I113" s="73" t="s">
        <v>314</v>
      </c>
      <c r="J113" s="74">
        <v>18</v>
      </c>
      <c r="K113" s="73"/>
      <c r="L113" s="239" t="s">
        <v>277</v>
      </c>
      <c r="M113" s="76"/>
      <c r="N113" s="152"/>
      <c r="O113" s="95"/>
      <c r="P113" s="79"/>
      <c r="Q113" s="80"/>
      <c r="R113" s="81"/>
      <c r="S113" s="68" t="s">
        <v>12</v>
      </c>
      <c r="T113" s="82"/>
      <c r="U113" s="76"/>
      <c r="V113" s="84">
        <v>0.71</v>
      </c>
      <c r="W113" s="85" t="s">
        <v>12</v>
      </c>
      <c r="X113" s="80" t="s">
        <v>12</v>
      </c>
      <c r="Y113" s="86" t="s">
        <v>12</v>
      </c>
      <c r="Z113" s="85" t="s">
        <v>12</v>
      </c>
      <c r="AA113" s="80" t="s">
        <v>12</v>
      </c>
      <c r="AB113" s="86" t="s">
        <v>12</v>
      </c>
      <c r="AC113" s="85" t="s">
        <v>12</v>
      </c>
      <c r="AD113" s="87" t="s">
        <v>12</v>
      </c>
      <c r="AE113" s="68" t="s">
        <v>91</v>
      </c>
      <c r="AF113" s="88">
        <v>1.6</v>
      </c>
      <c r="AG113" s="89" t="s">
        <v>12</v>
      </c>
      <c r="AH113" s="90" t="s">
        <v>12</v>
      </c>
      <c r="AI113" s="88" t="s">
        <v>12</v>
      </c>
      <c r="AJ113" s="89" t="s">
        <v>12</v>
      </c>
      <c r="AK113" s="90" t="s">
        <v>12</v>
      </c>
      <c r="AL113" s="88" t="s">
        <v>12</v>
      </c>
      <c r="AM113" s="89" t="s">
        <v>12</v>
      </c>
      <c r="AN113" s="90" t="s">
        <v>12</v>
      </c>
      <c r="AO113" s="246"/>
      <c r="AP113" s="91"/>
      <c r="AQ113" s="73"/>
      <c r="AR113" s="92"/>
      <c r="AS113" s="93"/>
      <c r="AT113" s="94"/>
    </row>
    <row r="114" spans="1:46" ht="15.75" customHeight="1">
      <c r="A114" s="157" t="s">
        <v>182</v>
      </c>
      <c r="B114" s="158"/>
      <c r="C114" s="159">
        <v>1971</v>
      </c>
      <c r="D114" s="224"/>
      <c r="E114" s="224"/>
      <c r="F114" s="225"/>
      <c r="G114" s="386">
        <v>41</v>
      </c>
      <c r="H114" s="162"/>
      <c r="I114" s="163"/>
      <c r="J114" s="164"/>
      <c r="K114" s="163"/>
      <c r="L114" s="240" t="s">
        <v>277</v>
      </c>
      <c r="M114" s="166"/>
      <c r="N114" s="197"/>
      <c r="O114" s="198"/>
      <c r="P114" s="169"/>
      <c r="Q114" s="170"/>
      <c r="R114" s="171"/>
      <c r="S114" s="172">
        <v>1</v>
      </c>
      <c r="T114" s="9" t="s">
        <v>86</v>
      </c>
      <c r="U114" s="310"/>
      <c r="V114" s="174">
        <f>1/1.755</f>
        <v>0.56980056980056981</v>
      </c>
      <c r="W114" s="175" t="s">
        <v>99</v>
      </c>
      <c r="X114" s="176" t="s">
        <v>99</v>
      </c>
      <c r="Y114" s="175" t="s">
        <v>99</v>
      </c>
      <c r="Z114" s="175" t="s">
        <v>99</v>
      </c>
      <c r="AA114" s="176" t="s">
        <v>99</v>
      </c>
      <c r="AB114" s="175" t="s">
        <v>99</v>
      </c>
      <c r="AC114" s="175" t="s">
        <v>99</v>
      </c>
      <c r="AD114" s="315" t="s">
        <v>99</v>
      </c>
      <c r="AE114" s="172" t="s">
        <v>90</v>
      </c>
      <c r="AF114" s="277">
        <v>0.65</v>
      </c>
      <c r="AG114" s="277" t="s">
        <v>99</v>
      </c>
      <c r="AH114" s="180" t="s">
        <v>99</v>
      </c>
      <c r="AI114" s="277" t="s">
        <v>99</v>
      </c>
      <c r="AJ114" s="277" t="s">
        <v>99</v>
      </c>
      <c r="AK114" s="180" t="s">
        <v>99</v>
      </c>
      <c r="AL114" s="277" t="s">
        <v>99</v>
      </c>
      <c r="AM114" s="277" t="s">
        <v>99</v>
      </c>
      <c r="AN114" s="180" t="s">
        <v>99</v>
      </c>
      <c r="AO114" s="252" t="s">
        <v>289</v>
      </c>
      <c r="AP114" s="181"/>
      <c r="AQ114" s="182"/>
      <c r="AR114" s="112" t="s">
        <v>99</v>
      </c>
      <c r="AS114" s="113"/>
      <c r="AT114" s="114"/>
    </row>
    <row r="115" spans="1:46" ht="15.75" customHeight="1">
      <c r="A115" s="38"/>
      <c r="B115" s="39"/>
      <c r="C115" s="40"/>
      <c r="D115" s="218"/>
      <c r="E115" s="218"/>
      <c r="F115" s="219"/>
      <c r="G115" s="385"/>
      <c r="H115" s="43"/>
      <c r="I115" s="44"/>
      <c r="J115" s="45"/>
      <c r="K115" s="44"/>
      <c r="L115" s="238"/>
      <c r="M115" s="47"/>
      <c r="N115" s="316"/>
      <c r="O115" s="317"/>
      <c r="P115" s="50"/>
      <c r="Q115" s="51"/>
      <c r="R115" s="52"/>
      <c r="S115" s="53">
        <v>2</v>
      </c>
      <c r="T115" s="149" t="s">
        <v>83</v>
      </c>
      <c r="U115" s="150"/>
      <c r="V115" s="151">
        <f>1/1.75</f>
        <v>0.5714285714285714</v>
      </c>
      <c r="W115" s="139" t="s">
        <v>99</v>
      </c>
      <c r="X115" s="140" t="s">
        <v>99</v>
      </c>
      <c r="Y115" s="139" t="s">
        <v>99</v>
      </c>
      <c r="Z115" s="139" t="s">
        <v>99</v>
      </c>
      <c r="AA115" s="140" t="s">
        <v>99</v>
      </c>
      <c r="AB115" s="139" t="s">
        <v>99</v>
      </c>
      <c r="AC115" s="139" t="s">
        <v>99</v>
      </c>
      <c r="AD115" s="318" t="s">
        <v>99</v>
      </c>
      <c r="AE115" s="53" t="s">
        <v>90</v>
      </c>
      <c r="AF115" s="60">
        <v>1.1000000000000001</v>
      </c>
      <c r="AG115" s="60" t="s">
        <v>99</v>
      </c>
      <c r="AH115" s="189" t="s">
        <v>99</v>
      </c>
      <c r="AI115" s="60" t="s">
        <v>99</v>
      </c>
      <c r="AJ115" s="60" t="s">
        <v>99</v>
      </c>
      <c r="AK115" s="189" t="s">
        <v>99</v>
      </c>
      <c r="AL115" s="60" t="s">
        <v>99</v>
      </c>
      <c r="AM115" s="60" t="s">
        <v>99</v>
      </c>
      <c r="AN115" s="189" t="s">
        <v>99</v>
      </c>
      <c r="AO115" s="245" t="s">
        <v>289</v>
      </c>
      <c r="AP115" s="62"/>
      <c r="AQ115" s="63"/>
      <c r="AR115" s="64" t="s">
        <v>99</v>
      </c>
      <c r="AS115" s="65"/>
      <c r="AT115" s="66"/>
    </row>
    <row r="116" spans="1:46" ht="15.75" customHeight="1">
      <c r="A116" s="67" t="s">
        <v>183</v>
      </c>
      <c r="B116" s="68" t="s">
        <v>68</v>
      </c>
      <c r="C116" s="69"/>
      <c r="D116" s="218" t="s">
        <v>12</v>
      </c>
      <c r="E116" s="218" t="s">
        <v>12</v>
      </c>
      <c r="F116" s="219" t="s">
        <v>12</v>
      </c>
      <c r="G116" s="387">
        <v>40</v>
      </c>
      <c r="H116" s="72">
        <v>11</v>
      </c>
      <c r="I116" s="73" t="s">
        <v>314</v>
      </c>
      <c r="J116" s="74">
        <v>11</v>
      </c>
      <c r="K116" s="73"/>
      <c r="L116" s="239" t="s">
        <v>277</v>
      </c>
      <c r="M116" s="76"/>
      <c r="N116" s="152"/>
      <c r="O116" s="95"/>
      <c r="P116" s="79"/>
      <c r="Q116" s="80"/>
      <c r="R116" s="81"/>
      <c r="S116" s="68" t="s">
        <v>12</v>
      </c>
      <c r="T116" s="82"/>
      <c r="U116" s="76"/>
      <c r="V116" s="84">
        <v>0.621</v>
      </c>
      <c r="W116" s="85" t="s">
        <v>12</v>
      </c>
      <c r="X116" s="80" t="s">
        <v>12</v>
      </c>
      <c r="Y116" s="86">
        <v>0.621</v>
      </c>
      <c r="Z116" s="85" t="s">
        <v>12</v>
      </c>
      <c r="AA116" s="80" t="s">
        <v>12</v>
      </c>
      <c r="AB116" s="86">
        <v>0.33</v>
      </c>
      <c r="AC116" s="85" t="s">
        <v>12</v>
      </c>
      <c r="AD116" s="87" t="s">
        <v>12</v>
      </c>
      <c r="AE116" s="68"/>
      <c r="AF116" s="88">
        <v>0.6</v>
      </c>
      <c r="AG116" s="89" t="s">
        <v>12</v>
      </c>
      <c r="AH116" s="90" t="s">
        <v>12</v>
      </c>
      <c r="AI116" s="88">
        <v>0.7</v>
      </c>
      <c r="AJ116" s="89" t="s">
        <v>12</v>
      </c>
      <c r="AK116" s="90" t="s">
        <v>12</v>
      </c>
      <c r="AL116" s="88">
        <v>0.5</v>
      </c>
      <c r="AM116" s="89" t="s">
        <v>12</v>
      </c>
      <c r="AN116" s="90" t="s">
        <v>12</v>
      </c>
      <c r="AO116" s="246"/>
      <c r="AP116" s="91"/>
      <c r="AQ116" s="73"/>
      <c r="AR116" s="92"/>
      <c r="AS116" s="93"/>
      <c r="AT116" s="94"/>
    </row>
    <row r="117" spans="1:46" ht="15.75" customHeight="1">
      <c r="A117" s="157" t="s">
        <v>184</v>
      </c>
      <c r="B117" s="158"/>
      <c r="C117" s="159">
        <v>1977</v>
      </c>
      <c r="D117" s="224"/>
      <c r="E117" s="224"/>
      <c r="F117" s="225"/>
      <c r="G117" s="386">
        <v>40</v>
      </c>
      <c r="H117" s="162"/>
      <c r="I117" s="163"/>
      <c r="J117" s="164"/>
      <c r="K117" s="163"/>
      <c r="L117" s="240" t="s">
        <v>277</v>
      </c>
      <c r="M117" s="166"/>
      <c r="N117" s="197"/>
      <c r="O117" s="198"/>
      <c r="P117" s="169"/>
      <c r="Q117" s="170"/>
      <c r="R117" s="171"/>
      <c r="S117" s="172">
        <v>1</v>
      </c>
      <c r="T117" s="9" t="s">
        <v>86</v>
      </c>
      <c r="U117" s="310"/>
      <c r="V117" s="174">
        <f>1/2.05</f>
        <v>0.48780487804878053</v>
      </c>
      <c r="W117" s="175" t="s">
        <v>99</v>
      </c>
      <c r="X117" s="176" t="s">
        <v>99</v>
      </c>
      <c r="Y117" s="175" t="s">
        <v>99</v>
      </c>
      <c r="Z117" s="175" t="s">
        <v>99</v>
      </c>
      <c r="AA117" s="176" t="s">
        <v>99</v>
      </c>
      <c r="AB117" s="175" t="s">
        <v>99</v>
      </c>
      <c r="AC117" s="175" t="s">
        <v>99</v>
      </c>
      <c r="AD117" s="315" t="s">
        <v>99</v>
      </c>
      <c r="AE117" s="172" t="s">
        <v>90</v>
      </c>
      <c r="AF117" s="277">
        <v>0.65</v>
      </c>
      <c r="AG117" s="277" t="s">
        <v>99</v>
      </c>
      <c r="AH117" s="180" t="s">
        <v>99</v>
      </c>
      <c r="AI117" s="277" t="s">
        <v>99</v>
      </c>
      <c r="AJ117" s="277" t="s">
        <v>99</v>
      </c>
      <c r="AK117" s="180" t="s">
        <v>99</v>
      </c>
      <c r="AL117" s="277" t="s">
        <v>99</v>
      </c>
      <c r="AM117" s="277" t="s">
        <v>99</v>
      </c>
      <c r="AN117" s="180" t="s">
        <v>99</v>
      </c>
      <c r="AO117" s="252" t="s">
        <v>289</v>
      </c>
      <c r="AP117" s="181"/>
      <c r="AQ117" s="182"/>
      <c r="AR117" s="112" t="s">
        <v>99</v>
      </c>
      <c r="AS117" s="113"/>
      <c r="AT117" s="114"/>
    </row>
    <row r="118" spans="1:46" ht="15.75" customHeight="1">
      <c r="A118" s="38"/>
      <c r="B118" s="39"/>
      <c r="C118" s="40"/>
      <c r="D118" s="218"/>
      <c r="E118" s="218"/>
      <c r="F118" s="219"/>
      <c r="G118" s="385"/>
      <c r="H118" s="43"/>
      <c r="I118" s="44"/>
      <c r="J118" s="45"/>
      <c r="K118" s="44"/>
      <c r="L118" s="238"/>
      <c r="M118" s="47"/>
      <c r="N118" s="316"/>
      <c r="O118" s="317"/>
      <c r="P118" s="50"/>
      <c r="Q118" s="51"/>
      <c r="R118" s="52"/>
      <c r="S118" s="53">
        <v>2</v>
      </c>
      <c r="T118" s="149" t="s">
        <v>83</v>
      </c>
      <c r="U118" s="150"/>
      <c r="V118" s="151">
        <f>1/2.045</f>
        <v>0.48899755501222497</v>
      </c>
      <c r="W118" s="139" t="s">
        <v>99</v>
      </c>
      <c r="X118" s="140" t="s">
        <v>99</v>
      </c>
      <c r="Y118" s="139" t="s">
        <v>99</v>
      </c>
      <c r="Z118" s="139" t="s">
        <v>99</v>
      </c>
      <c r="AA118" s="140" t="s">
        <v>99</v>
      </c>
      <c r="AB118" s="139" t="s">
        <v>99</v>
      </c>
      <c r="AC118" s="139" t="s">
        <v>99</v>
      </c>
      <c r="AD118" s="318" t="s">
        <v>99</v>
      </c>
      <c r="AE118" s="53" t="s">
        <v>90</v>
      </c>
      <c r="AF118" s="60">
        <v>0.3</v>
      </c>
      <c r="AG118" s="60" t="s">
        <v>99</v>
      </c>
      <c r="AH118" s="189" t="s">
        <v>99</v>
      </c>
      <c r="AI118" s="60" t="s">
        <v>99</v>
      </c>
      <c r="AJ118" s="60" t="s">
        <v>99</v>
      </c>
      <c r="AK118" s="189" t="s">
        <v>99</v>
      </c>
      <c r="AL118" s="60" t="s">
        <v>99</v>
      </c>
      <c r="AM118" s="60" t="s">
        <v>99</v>
      </c>
      <c r="AN118" s="189" t="s">
        <v>99</v>
      </c>
      <c r="AO118" s="245" t="s">
        <v>289</v>
      </c>
      <c r="AP118" s="62"/>
      <c r="AQ118" s="63"/>
      <c r="AR118" s="64" t="s">
        <v>99</v>
      </c>
      <c r="AS118" s="65"/>
      <c r="AT118" s="66"/>
    </row>
    <row r="119" spans="1:46" ht="15.75" customHeight="1">
      <c r="A119" s="67" t="s">
        <v>185</v>
      </c>
      <c r="B119" s="68" t="s">
        <v>196</v>
      </c>
      <c r="C119" s="69"/>
      <c r="D119" s="218" t="s">
        <v>12</v>
      </c>
      <c r="E119" s="218" t="s">
        <v>12</v>
      </c>
      <c r="F119" s="219" t="s">
        <v>12</v>
      </c>
      <c r="G119" s="387">
        <v>39</v>
      </c>
      <c r="H119" s="72">
        <v>12</v>
      </c>
      <c r="I119" s="73" t="s">
        <v>314</v>
      </c>
      <c r="J119" s="74">
        <v>12</v>
      </c>
      <c r="K119" s="73"/>
      <c r="L119" s="239" t="s">
        <v>277</v>
      </c>
      <c r="M119" s="76"/>
      <c r="N119" s="152"/>
      <c r="O119" s="95"/>
      <c r="P119" s="79"/>
      <c r="Q119" s="80"/>
      <c r="R119" s="81"/>
      <c r="S119" s="68" t="s">
        <v>12</v>
      </c>
      <c r="T119" s="82"/>
      <c r="U119" s="76"/>
      <c r="V119" s="84">
        <v>0.57999999999999996</v>
      </c>
      <c r="W119" s="85" t="s">
        <v>12</v>
      </c>
      <c r="X119" s="80" t="s">
        <v>12</v>
      </c>
      <c r="Y119" s="86" t="s">
        <v>12</v>
      </c>
      <c r="Z119" s="85" t="s">
        <v>12</v>
      </c>
      <c r="AA119" s="80" t="s">
        <v>12</v>
      </c>
      <c r="AB119" s="86" t="s">
        <v>12</v>
      </c>
      <c r="AC119" s="85" t="s">
        <v>12</v>
      </c>
      <c r="AD119" s="87" t="s">
        <v>12</v>
      </c>
      <c r="AE119" s="68" t="s">
        <v>91</v>
      </c>
      <c r="AF119" s="88">
        <v>1.6</v>
      </c>
      <c r="AG119" s="89" t="s">
        <v>12</v>
      </c>
      <c r="AH119" s="90" t="s">
        <v>12</v>
      </c>
      <c r="AI119" s="88" t="s">
        <v>12</v>
      </c>
      <c r="AJ119" s="89" t="s">
        <v>12</v>
      </c>
      <c r="AK119" s="90" t="s">
        <v>12</v>
      </c>
      <c r="AL119" s="88" t="s">
        <v>12</v>
      </c>
      <c r="AM119" s="89" t="s">
        <v>12</v>
      </c>
      <c r="AN119" s="90" t="s">
        <v>12</v>
      </c>
      <c r="AO119" s="246"/>
      <c r="AP119" s="91"/>
      <c r="AQ119" s="73"/>
      <c r="AR119" s="92"/>
      <c r="AS119" s="93"/>
      <c r="AT119" s="94"/>
    </row>
    <row r="120" spans="1:46" ht="15.75" customHeight="1">
      <c r="A120" s="157" t="s">
        <v>186</v>
      </c>
      <c r="B120" s="158"/>
      <c r="C120" s="159">
        <v>1965</v>
      </c>
      <c r="D120" s="224"/>
      <c r="E120" s="224"/>
      <c r="F120" s="225"/>
      <c r="G120" s="386">
        <v>37</v>
      </c>
      <c r="H120" s="162"/>
      <c r="I120" s="163"/>
      <c r="J120" s="164"/>
      <c r="K120" s="163"/>
      <c r="L120" s="240" t="s">
        <v>277</v>
      </c>
      <c r="M120" s="166"/>
      <c r="N120" s="197"/>
      <c r="O120" s="198"/>
      <c r="P120" s="169"/>
      <c r="Q120" s="170"/>
      <c r="R120" s="171"/>
      <c r="S120" s="172">
        <v>1</v>
      </c>
      <c r="T120" s="9" t="s">
        <v>86</v>
      </c>
      <c r="U120" s="310"/>
      <c r="V120" s="174">
        <f>1/2.8</f>
        <v>0.35714285714285715</v>
      </c>
      <c r="W120" s="175" t="s">
        <v>99</v>
      </c>
      <c r="X120" s="176" t="s">
        <v>99</v>
      </c>
      <c r="Y120" s="175" t="s">
        <v>99</v>
      </c>
      <c r="Z120" s="175" t="s">
        <v>99</v>
      </c>
      <c r="AA120" s="176" t="s">
        <v>99</v>
      </c>
      <c r="AB120" s="175" t="s">
        <v>99</v>
      </c>
      <c r="AC120" s="175" t="s">
        <v>99</v>
      </c>
      <c r="AD120" s="315" t="s">
        <v>99</v>
      </c>
      <c r="AE120" s="172" t="s">
        <v>90</v>
      </c>
      <c r="AF120" s="277">
        <v>1.2</v>
      </c>
      <c r="AG120" s="277" t="s">
        <v>99</v>
      </c>
      <c r="AH120" s="180" t="s">
        <v>99</v>
      </c>
      <c r="AI120" s="277" t="s">
        <v>99</v>
      </c>
      <c r="AJ120" s="277" t="s">
        <v>99</v>
      </c>
      <c r="AK120" s="180" t="s">
        <v>99</v>
      </c>
      <c r="AL120" s="277" t="s">
        <v>99</v>
      </c>
      <c r="AM120" s="277" t="s">
        <v>99</v>
      </c>
      <c r="AN120" s="180" t="s">
        <v>99</v>
      </c>
      <c r="AO120" s="252" t="s">
        <v>289</v>
      </c>
      <c r="AP120" s="181"/>
      <c r="AQ120" s="182"/>
      <c r="AR120" s="112" t="s">
        <v>99</v>
      </c>
      <c r="AS120" s="113"/>
      <c r="AT120" s="114"/>
    </row>
    <row r="121" spans="1:46" ht="15.75" customHeight="1">
      <c r="A121" s="38"/>
      <c r="B121" s="39"/>
      <c r="C121" s="40"/>
      <c r="D121" s="218"/>
      <c r="E121" s="218"/>
      <c r="F121" s="219"/>
      <c r="G121" s="385"/>
      <c r="H121" s="43"/>
      <c r="I121" s="44"/>
      <c r="J121" s="45"/>
      <c r="K121" s="44"/>
      <c r="L121" s="238"/>
      <c r="M121" s="47"/>
      <c r="N121" s="316"/>
      <c r="O121" s="317"/>
      <c r="P121" s="50"/>
      <c r="Q121" s="51"/>
      <c r="R121" s="52"/>
      <c r="S121" s="53">
        <v>2</v>
      </c>
      <c r="T121" s="149" t="s">
        <v>83</v>
      </c>
      <c r="U121" s="150"/>
      <c r="V121" s="151">
        <f>1/2.81</f>
        <v>0.35587188612099646</v>
      </c>
      <c r="W121" s="139" t="s">
        <v>99</v>
      </c>
      <c r="X121" s="140" t="s">
        <v>99</v>
      </c>
      <c r="Y121" s="139" t="s">
        <v>99</v>
      </c>
      <c r="Z121" s="139" t="s">
        <v>99</v>
      </c>
      <c r="AA121" s="140" t="s">
        <v>99</v>
      </c>
      <c r="AB121" s="139" t="s">
        <v>99</v>
      </c>
      <c r="AC121" s="139" t="s">
        <v>99</v>
      </c>
      <c r="AD121" s="318" t="s">
        <v>99</v>
      </c>
      <c r="AE121" s="53" t="s">
        <v>90</v>
      </c>
      <c r="AF121" s="60">
        <v>0.5</v>
      </c>
      <c r="AG121" s="60" t="s">
        <v>99</v>
      </c>
      <c r="AH121" s="189" t="s">
        <v>99</v>
      </c>
      <c r="AI121" s="60" t="s">
        <v>99</v>
      </c>
      <c r="AJ121" s="60" t="s">
        <v>99</v>
      </c>
      <c r="AK121" s="189" t="s">
        <v>99</v>
      </c>
      <c r="AL121" s="60" t="s">
        <v>99</v>
      </c>
      <c r="AM121" s="60" t="s">
        <v>99</v>
      </c>
      <c r="AN121" s="189" t="s">
        <v>99</v>
      </c>
      <c r="AO121" s="245" t="s">
        <v>289</v>
      </c>
      <c r="AP121" s="62"/>
      <c r="AQ121" s="63"/>
      <c r="AR121" s="64" t="s">
        <v>99</v>
      </c>
      <c r="AS121" s="65"/>
      <c r="AT121" s="66"/>
    </row>
    <row r="122" spans="1:46" ht="15.75" customHeight="1">
      <c r="A122" s="67" t="s">
        <v>187</v>
      </c>
      <c r="B122" s="68" t="s">
        <v>12</v>
      </c>
      <c r="C122" s="69"/>
      <c r="D122" s="218" t="s">
        <v>12</v>
      </c>
      <c r="E122" s="218" t="s">
        <v>12</v>
      </c>
      <c r="F122" s="219" t="s">
        <v>12</v>
      </c>
      <c r="G122" s="387">
        <v>33</v>
      </c>
      <c r="H122" s="72">
        <v>14</v>
      </c>
      <c r="I122" s="73" t="s">
        <v>314</v>
      </c>
      <c r="J122" s="74">
        <v>14</v>
      </c>
      <c r="K122" s="73"/>
      <c r="L122" s="239" t="s">
        <v>277</v>
      </c>
      <c r="M122" s="76"/>
      <c r="N122" s="152"/>
      <c r="O122" s="95"/>
      <c r="P122" s="79"/>
      <c r="Q122" s="80"/>
      <c r="R122" s="81"/>
      <c r="S122" s="68" t="s">
        <v>12</v>
      </c>
      <c r="T122" s="82"/>
      <c r="U122" s="76"/>
      <c r="V122" s="84">
        <v>0.48</v>
      </c>
      <c r="W122" s="85" t="s">
        <v>12</v>
      </c>
      <c r="X122" s="80" t="s">
        <v>12</v>
      </c>
      <c r="Y122" s="86" t="s">
        <v>12</v>
      </c>
      <c r="Z122" s="85" t="s">
        <v>12</v>
      </c>
      <c r="AA122" s="80" t="s">
        <v>12</v>
      </c>
      <c r="AB122" s="86" t="s">
        <v>12</v>
      </c>
      <c r="AC122" s="85" t="s">
        <v>12</v>
      </c>
      <c r="AD122" s="87" t="s">
        <v>12</v>
      </c>
      <c r="AE122" s="68" t="s">
        <v>91</v>
      </c>
      <c r="AF122" s="88">
        <v>0.7</v>
      </c>
      <c r="AG122" s="89" t="s">
        <v>12</v>
      </c>
      <c r="AH122" s="90" t="s">
        <v>12</v>
      </c>
      <c r="AI122" s="88" t="s">
        <v>12</v>
      </c>
      <c r="AJ122" s="89" t="s">
        <v>12</v>
      </c>
      <c r="AK122" s="90" t="s">
        <v>12</v>
      </c>
      <c r="AL122" s="88" t="s">
        <v>12</v>
      </c>
      <c r="AM122" s="89" t="s">
        <v>12</v>
      </c>
      <c r="AN122" s="90" t="s">
        <v>12</v>
      </c>
      <c r="AO122" s="246"/>
      <c r="AP122" s="91"/>
      <c r="AQ122" s="73"/>
      <c r="AR122" s="92"/>
      <c r="AS122" s="93"/>
      <c r="AT122" s="94"/>
    </row>
    <row r="123" spans="1:46" ht="15.75" customHeight="1">
      <c r="A123" s="67" t="s">
        <v>188</v>
      </c>
      <c r="B123" s="68" t="s">
        <v>197</v>
      </c>
      <c r="C123" s="69"/>
      <c r="D123" s="218" t="s">
        <v>12</v>
      </c>
      <c r="E123" s="218" t="s">
        <v>12</v>
      </c>
      <c r="F123" s="219" t="s">
        <v>12</v>
      </c>
      <c r="G123" s="387">
        <v>32</v>
      </c>
      <c r="H123" s="72">
        <v>12</v>
      </c>
      <c r="I123" s="73" t="s">
        <v>314</v>
      </c>
      <c r="J123" s="74">
        <v>12</v>
      </c>
      <c r="K123" s="73"/>
      <c r="L123" s="239" t="s">
        <v>277</v>
      </c>
      <c r="M123" s="76"/>
      <c r="N123" s="152"/>
      <c r="O123" s="95"/>
      <c r="P123" s="79"/>
      <c r="Q123" s="80"/>
      <c r="R123" s="81"/>
      <c r="S123" s="68" t="s">
        <v>12</v>
      </c>
      <c r="T123" s="82"/>
      <c r="U123" s="76"/>
      <c r="V123" s="84">
        <v>0.56999999999999995</v>
      </c>
      <c r="W123" s="85" t="s">
        <v>12</v>
      </c>
      <c r="X123" s="80" t="s">
        <v>12</v>
      </c>
      <c r="Y123" s="86" t="s">
        <v>12</v>
      </c>
      <c r="Z123" s="85" t="s">
        <v>12</v>
      </c>
      <c r="AA123" s="80" t="s">
        <v>12</v>
      </c>
      <c r="AB123" s="86" t="s">
        <v>12</v>
      </c>
      <c r="AC123" s="85" t="s">
        <v>12</v>
      </c>
      <c r="AD123" s="87" t="s">
        <v>12</v>
      </c>
      <c r="AE123" s="68" t="s">
        <v>91</v>
      </c>
      <c r="AF123" s="88">
        <v>0.5</v>
      </c>
      <c r="AG123" s="89" t="s">
        <v>12</v>
      </c>
      <c r="AH123" s="90" t="s">
        <v>12</v>
      </c>
      <c r="AI123" s="88" t="s">
        <v>12</v>
      </c>
      <c r="AJ123" s="89" t="s">
        <v>12</v>
      </c>
      <c r="AK123" s="90" t="s">
        <v>12</v>
      </c>
      <c r="AL123" s="88" t="s">
        <v>12</v>
      </c>
      <c r="AM123" s="89" t="s">
        <v>12</v>
      </c>
      <c r="AN123" s="90" t="s">
        <v>12</v>
      </c>
      <c r="AO123" s="246"/>
      <c r="AP123" s="91"/>
      <c r="AQ123" s="73"/>
      <c r="AR123" s="92"/>
      <c r="AS123" s="93"/>
      <c r="AT123" s="94"/>
    </row>
    <row r="124" spans="1:46" ht="15.75" customHeight="1">
      <c r="A124" s="157" t="s">
        <v>189</v>
      </c>
      <c r="B124" s="158"/>
      <c r="C124" s="159">
        <v>1968</v>
      </c>
      <c r="D124" s="224"/>
      <c r="E124" s="224"/>
      <c r="F124" s="225"/>
      <c r="G124" s="386">
        <v>31</v>
      </c>
      <c r="H124" s="162"/>
      <c r="I124" s="163"/>
      <c r="J124" s="164"/>
      <c r="K124" s="163"/>
      <c r="L124" s="240" t="s">
        <v>277</v>
      </c>
      <c r="M124" s="166"/>
      <c r="N124" s="197"/>
      <c r="O124" s="198"/>
      <c r="P124" s="169"/>
      <c r="Q124" s="170"/>
      <c r="R124" s="171"/>
      <c r="S124" s="172">
        <v>1</v>
      </c>
      <c r="T124" s="9" t="s">
        <v>86</v>
      </c>
      <c r="U124" s="310"/>
      <c r="V124" s="174">
        <f>1/1.755</f>
        <v>0.56980056980056981</v>
      </c>
      <c r="W124" s="175" t="s">
        <v>99</v>
      </c>
      <c r="X124" s="176" t="s">
        <v>99</v>
      </c>
      <c r="Y124" s="175" t="s">
        <v>99</v>
      </c>
      <c r="Z124" s="175" t="s">
        <v>99</v>
      </c>
      <c r="AA124" s="176" t="s">
        <v>99</v>
      </c>
      <c r="AB124" s="175" t="s">
        <v>99</v>
      </c>
      <c r="AC124" s="175" t="s">
        <v>99</v>
      </c>
      <c r="AD124" s="315" t="s">
        <v>99</v>
      </c>
      <c r="AE124" s="172" t="s">
        <v>90</v>
      </c>
      <c r="AF124" s="277">
        <v>1.2</v>
      </c>
      <c r="AG124" s="277" t="s">
        <v>99</v>
      </c>
      <c r="AH124" s="180" t="s">
        <v>99</v>
      </c>
      <c r="AI124" s="277" t="s">
        <v>99</v>
      </c>
      <c r="AJ124" s="277" t="s">
        <v>99</v>
      </c>
      <c r="AK124" s="180" t="s">
        <v>99</v>
      </c>
      <c r="AL124" s="277" t="s">
        <v>99</v>
      </c>
      <c r="AM124" s="277" t="s">
        <v>99</v>
      </c>
      <c r="AN124" s="180" t="s">
        <v>99</v>
      </c>
      <c r="AO124" s="252" t="s">
        <v>289</v>
      </c>
      <c r="AP124" s="181"/>
      <c r="AQ124" s="182"/>
      <c r="AR124" s="112" t="s">
        <v>99</v>
      </c>
      <c r="AS124" s="113"/>
      <c r="AT124" s="114"/>
    </row>
    <row r="125" spans="1:46" ht="15.75" customHeight="1">
      <c r="A125" s="38"/>
      <c r="B125" s="39"/>
      <c r="C125" s="40"/>
      <c r="D125" s="218"/>
      <c r="E125" s="218"/>
      <c r="F125" s="219"/>
      <c r="G125" s="385"/>
      <c r="H125" s="43"/>
      <c r="I125" s="44"/>
      <c r="J125" s="45"/>
      <c r="K125" s="44"/>
      <c r="L125" s="238"/>
      <c r="M125" s="47"/>
      <c r="N125" s="316"/>
      <c r="O125" s="317"/>
      <c r="P125" s="50"/>
      <c r="Q125" s="51"/>
      <c r="R125" s="52"/>
      <c r="S125" s="53">
        <v>2</v>
      </c>
      <c r="T125" s="149" t="s">
        <v>83</v>
      </c>
      <c r="U125" s="150"/>
      <c r="V125" s="151">
        <f>1/1.77</f>
        <v>0.56497175141242939</v>
      </c>
      <c r="W125" s="139" t="s">
        <v>99</v>
      </c>
      <c r="X125" s="140" t="s">
        <v>99</v>
      </c>
      <c r="Y125" s="139" t="s">
        <v>99</v>
      </c>
      <c r="Z125" s="139" t="s">
        <v>99</v>
      </c>
      <c r="AA125" s="140" t="s">
        <v>99</v>
      </c>
      <c r="AB125" s="139" t="s">
        <v>99</v>
      </c>
      <c r="AC125" s="139" t="s">
        <v>99</v>
      </c>
      <c r="AD125" s="318" t="s">
        <v>99</v>
      </c>
      <c r="AE125" s="53" t="s">
        <v>90</v>
      </c>
      <c r="AF125" s="60">
        <v>0.9</v>
      </c>
      <c r="AG125" s="60" t="s">
        <v>99</v>
      </c>
      <c r="AH125" s="189" t="s">
        <v>99</v>
      </c>
      <c r="AI125" s="60" t="s">
        <v>99</v>
      </c>
      <c r="AJ125" s="60" t="s">
        <v>99</v>
      </c>
      <c r="AK125" s="189" t="s">
        <v>99</v>
      </c>
      <c r="AL125" s="60" t="s">
        <v>99</v>
      </c>
      <c r="AM125" s="60" t="s">
        <v>99</v>
      </c>
      <c r="AN125" s="189" t="s">
        <v>99</v>
      </c>
      <c r="AO125" s="245" t="s">
        <v>289</v>
      </c>
      <c r="AP125" s="62"/>
      <c r="AQ125" s="63"/>
      <c r="AR125" s="64" t="s">
        <v>99</v>
      </c>
      <c r="AS125" s="65"/>
      <c r="AT125" s="66"/>
    </row>
    <row r="126" spans="1:46" ht="15.75" customHeight="1">
      <c r="A126" s="157" t="s">
        <v>190</v>
      </c>
      <c r="B126" s="158"/>
      <c r="C126" s="159">
        <v>1979</v>
      </c>
      <c r="D126" s="224"/>
      <c r="E126" s="224"/>
      <c r="F126" s="225"/>
      <c r="G126" s="386">
        <v>31</v>
      </c>
      <c r="H126" s="162"/>
      <c r="I126" s="163"/>
      <c r="J126" s="164"/>
      <c r="K126" s="163"/>
      <c r="L126" s="240" t="s">
        <v>277</v>
      </c>
      <c r="M126" s="166"/>
      <c r="N126" s="197"/>
      <c r="O126" s="198"/>
      <c r="P126" s="169"/>
      <c r="Q126" s="170"/>
      <c r="R126" s="171"/>
      <c r="S126" s="172">
        <v>1</v>
      </c>
      <c r="T126" s="9" t="s">
        <v>86</v>
      </c>
      <c r="U126" s="310"/>
      <c r="V126" s="174">
        <f>1/2.385</f>
        <v>0.41928721174004197</v>
      </c>
      <c r="W126" s="175" t="s">
        <v>99</v>
      </c>
      <c r="X126" s="176" t="s">
        <v>99</v>
      </c>
      <c r="Y126" s="175" t="s">
        <v>99</v>
      </c>
      <c r="Z126" s="175" t="s">
        <v>99</v>
      </c>
      <c r="AA126" s="176" t="s">
        <v>99</v>
      </c>
      <c r="AB126" s="175" t="s">
        <v>99</v>
      </c>
      <c r="AC126" s="175" t="s">
        <v>99</v>
      </c>
      <c r="AD126" s="315" t="s">
        <v>99</v>
      </c>
      <c r="AE126" s="172" t="s">
        <v>90</v>
      </c>
      <c r="AF126" s="277">
        <v>0.7</v>
      </c>
      <c r="AG126" s="277" t="s">
        <v>99</v>
      </c>
      <c r="AH126" s="180" t="s">
        <v>99</v>
      </c>
      <c r="AI126" s="277" t="s">
        <v>99</v>
      </c>
      <c r="AJ126" s="277" t="s">
        <v>99</v>
      </c>
      <c r="AK126" s="180" t="s">
        <v>99</v>
      </c>
      <c r="AL126" s="277" t="s">
        <v>99</v>
      </c>
      <c r="AM126" s="277" t="s">
        <v>99</v>
      </c>
      <c r="AN126" s="180" t="s">
        <v>99</v>
      </c>
      <c r="AO126" s="252" t="s">
        <v>289</v>
      </c>
      <c r="AP126" s="181"/>
      <c r="AQ126" s="182"/>
      <c r="AR126" s="112" t="s">
        <v>99</v>
      </c>
      <c r="AS126" s="113"/>
      <c r="AT126" s="114"/>
    </row>
    <row r="127" spans="1:46" ht="15.75" customHeight="1">
      <c r="A127" s="38"/>
      <c r="B127" s="39"/>
      <c r="C127" s="40"/>
      <c r="D127" s="218"/>
      <c r="E127" s="218"/>
      <c r="F127" s="219"/>
      <c r="G127" s="385"/>
      <c r="H127" s="43"/>
      <c r="I127" s="44"/>
      <c r="J127" s="45"/>
      <c r="K127" s="44"/>
      <c r="L127" s="238"/>
      <c r="M127" s="47"/>
      <c r="N127" s="316"/>
      <c r="O127" s="317"/>
      <c r="P127" s="50"/>
      <c r="Q127" s="51"/>
      <c r="R127" s="52"/>
      <c r="S127" s="53">
        <v>2</v>
      </c>
      <c r="T127" s="149" t="s">
        <v>83</v>
      </c>
      <c r="U127" s="150"/>
      <c r="V127" s="151">
        <f>1/2.395</f>
        <v>0.41753653444676408</v>
      </c>
      <c r="W127" s="139" t="s">
        <v>99</v>
      </c>
      <c r="X127" s="140" t="s">
        <v>99</v>
      </c>
      <c r="Y127" s="139" t="s">
        <v>99</v>
      </c>
      <c r="Z127" s="139" t="s">
        <v>99</v>
      </c>
      <c r="AA127" s="140" t="s">
        <v>99</v>
      </c>
      <c r="AB127" s="139" t="s">
        <v>99</v>
      </c>
      <c r="AC127" s="139" t="s">
        <v>99</v>
      </c>
      <c r="AD127" s="318" t="s">
        <v>99</v>
      </c>
      <c r="AE127" s="53" t="s">
        <v>90</v>
      </c>
      <c r="AF127" s="60">
        <v>0.35</v>
      </c>
      <c r="AG127" s="60" t="s">
        <v>99</v>
      </c>
      <c r="AH127" s="189" t="s">
        <v>99</v>
      </c>
      <c r="AI127" s="60" t="s">
        <v>99</v>
      </c>
      <c r="AJ127" s="60" t="s">
        <v>99</v>
      </c>
      <c r="AK127" s="189" t="s">
        <v>99</v>
      </c>
      <c r="AL127" s="60" t="s">
        <v>99</v>
      </c>
      <c r="AM127" s="60" t="s">
        <v>99</v>
      </c>
      <c r="AN127" s="189" t="s">
        <v>99</v>
      </c>
      <c r="AO127" s="245" t="s">
        <v>289</v>
      </c>
      <c r="AP127" s="62"/>
      <c r="AQ127" s="63"/>
      <c r="AR127" s="64" t="s">
        <v>99</v>
      </c>
      <c r="AS127" s="65"/>
      <c r="AT127" s="66"/>
    </row>
    <row r="128" spans="1:46" ht="15.75" customHeight="1">
      <c r="A128" s="67" t="s">
        <v>191</v>
      </c>
      <c r="B128" s="68" t="s">
        <v>198</v>
      </c>
      <c r="C128" s="69"/>
      <c r="D128" s="331" t="s">
        <v>12</v>
      </c>
      <c r="E128" s="332" t="s">
        <v>12</v>
      </c>
      <c r="F128" s="333" t="s">
        <v>255</v>
      </c>
      <c r="G128" s="387">
        <v>28.6</v>
      </c>
      <c r="H128" s="72">
        <v>11.5</v>
      </c>
      <c r="I128" s="73" t="s">
        <v>314</v>
      </c>
      <c r="J128" s="74">
        <v>11.5</v>
      </c>
      <c r="K128" s="73"/>
      <c r="L128" s="239" t="s">
        <v>277</v>
      </c>
      <c r="M128" s="76"/>
      <c r="N128" s="152"/>
      <c r="O128" s="95"/>
      <c r="P128" s="79"/>
      <c r="Q128" s="80"/>
      <c r="R128" s="81"/>
      <c r="S128" s="68" t="s">
        <v>12</v>
      </c>
      <c r="T128" s="82" t="s">
        <v>85</v>
      </c>
      <c r="U128" s="76"/>
      <c r="V128" s="84">
        <v>0.23</v>
      </c>
      <c r="W128" s="85">
        <v>0.19</v>
      </c>
      <c r="X128" s="80">
        <v>0.14000000000000001</v>
      </c>
      <c r="Y128" s="86" t="s">
        <v>12</v>
      </c>
      <c r="Z128" s="85" t="s">
        <v>12</v>
      </c>
      <c r="AA128" s="80" t="s">
        <v>12</v>
      </c>
      <c r="AB128" s="86" t="s">
        <v>12</v>
      </c>
      <c r="AC128" s="85" t="s">
        <v>12</v>
      </c>
      <c r="AD128" s="87" t="s">
        <v>12</v>
      </c>
      <c r="AE128" s="68" t="s">
        <v>91</v>
      </c>
      <c r="AF128" s="88">
        <v>2</v>
      </c>
      <c r="AG128" s="89" t="s">
        <v>12</v>
      </c>
      <c r="AH128" s="90" t="s">
        <v>12</v>
      </c>
      <c r="AI128" s="88" t="s">
        <v>12</v>
      </c>
      <c r="AJ128" s="89" t="s">
        <v>12</v>
      </c>
      <c r="AK128" s="90" t="s">
        <v>12</v>
      </c>
      <c r="AL128" s="88" t="s">
        <v>12</v>
      </c>
      <c r="AM128" s="89" t="s">
        <v>12</v>
      </c>
      <c r="AN128" s="90" t="s">
        <v>12</v>
      </c>
      <c r="AO128" s="246"/>
      <c r="AP128" s="91"/>
      <c r="AQ128" s="73"/>
      <c r="AR128" s="92"/>
      <c r="AS128" s="93"/>
      <c r="AT128" s="94"/>
    </row>
    <row r="129" spans="1:46" ht="15.75" customHeight="1">
      <c r="A129" s="12" t="s">
        <v>192</v>
      </c>
      <c r="B129" s="13"/>
      <c r="C129" s="14">
        <v>1970</v>
      </c>
      <c r="D129" s="340"/>
      <c r="E129" s="340"/>
      <c r="F129" s="8"/>
      <c r="G129" s="388">
        <v>17</v>
      </c>
      <c r="H129" s="391"/>
      <c r="J129" s="96"/>
      <c r="L129" s="237" t="s">
        <v>277</v>
      </c>
      <c r="M129" s="19"/>
      <c r="N129" s="154"/>
      <c r="O129" s="155"/>
      <c r="P129" s="22"/>
      <c r="Q129" s="21"/>
      <c r="R129" s="23"/>
      <c r="S129" s="99">
        <v>1</v>
      </c>
      <c r="T129" s="100" t="s">
        <v>86</v>
      </c>
      <c r="U129" s="341"/>
      <c r="V129" s="102">
        <f>1/4.085</f>
        <v>0.24479804161566707</v>
      </c>
      <c r="W129" s="103" t="s">
        <v>99</v>
      </c>
      <c r="X129" s="104" t="s">
        <v>99</v>
      </c>
      <c r="Y129" s="103" t="s">
        <v>99</v>
      </c>
      <c r="Z129" s="103" t="s">
        <v>99</v>
      </c>
      <c r="AA129" s="104" t="s">
        <v>99</v>
      </c>
      <c r="AB129" s="103" t="s">
        <v>99</v>
      </c>
      <c r="AC129" s="103" t="s">
        <v>99</v>
      </c>
      <c r="AD129" s="342" t="s">
        <v>99</v>
      </c>
      <c r="AE129" s="99" t="s">
        <v>90</v>
      </c>
      <c r="AF129" s="108">
        <v>0.4</v>
      </c>
      <c r="AG129" s="108" t="s">
        <v>99</v>
      </c>
      <c r="AH129" s="195" t="s">
        <v>99</v>
      </c>
      <c r="AI129" s="108" t="s">
        <v>99</v>
      </c>
      <c r="AJ129" s="108" t="s">
        <v>99</v>
      </c>
      <c r="AK129" s="195" t="s">
        <v>99</v>
      </c>
      <c r="AL129" s="108" t="s">
        <v>99</v>
      </c>
      <c r="AM129" s="108" t="s">
        <v>99</v>
      </c>
      <c r="AN129" s="195" t="s">
        <v>99</v>
      </c>
      <c r="AO129" s="247" t="s">
        <v>289</v>
      </c>
      <c r="AP129" s="110"/>
      <c r="AQ129" s="111"/>
      <c r="AR129" s="129" t="s">
        <v>99</v>
      </c>
      <c r="AS129" s="113"/>
      <c r="AT129" s="114"/>
    </row>
    <row r="130" spans="1:46" ht="15.75" customHeight="1" thickBot="1">
      <c r="A130" s="429"/>
      <c r="B130" s="430"/>
      <c r="C130" s="431"/>
      <c r="D130" s="432"/>
      <c r="E130" s="432"/>
      <c r="F130" s="433"/>
      <c r="G130" s="434"/>
      <c r="H130" s="435"/>
      <c r="I130" s="11"/>
      <c r="J130" s="436"/>
      <c r="K130" s="11"/>
      <c r="L130" s="437"/>
      <c r="M130" s="438"/>
      <c r="N130" s="439"/>
      <c r="O130" s="440"/>
      <c r="P130" s="441"/>
      <c r="Q130" s="442"/>
      <c r="R130" s="443"/>
      <c r="S130" s="444">
        <v>2</v>
      </c>
      <c r="T130" s="445" t="s">
        <v>83</v>
      </c>
      <c r="U130" s="343"/>
      <c r="V130" s="344">
        <f>1/4.05</f>
        <v>0.24691358024691359</v>
      </c>
      <c r="W130" s="446" t="s">
        <v>99</v>
      </c>
      <c r="X130" s="447" t="s">
        <v>99</v>
      </c>
      <c r="Y130" s="446" t="s">
        <v>99</v>
      </c>
      <c r="Z130" s="446" t="s">
        <v>99</v>
      </c>
      <c r="AA130" s="447" t="s">
        <v>99</v>
      </c>
      <c r="AB130" s="446" t="s">
        <v>99</v>
      </c>
      <c r="AC130" s="446" t="s">
        <v>99</v>
      </c>
      <c r="AD130" s="448" t="s">
        <v>99</v>
      </c>
      <c r="AE130" s="444" t="s">
        <v>90</v>
      </c>
      <c r="AF130" s="449">
        <v>0.9</v>
      </c>
      <c r="AG130" s="449" t="s">
        <v>99</v>
      </c>
      <c r="AH130" s="450" t="s">
        <v>99</v>
      </c>
      <c r="AI130" s="449" t="s">
        <v>99</v>
      </c>
      <c r="AJ130" s="449" t="s">
        <v>99</v>
      </c>
      <c r="AK130" s="450" t="s">
        <v>99</v>
      </c>
      <c r="AL130" s="449" t="s">
        <v>99</v>
      </c>
      <c r="AM130" s="449" t="s">
        <v>99</v>
      </c>
      <c r="AN130" s="450" t="s">
        <v>99</v>
      </c>
      <c r="AO130" s="451" t="s">
        <v>289</v>
      </c>
      <c r="AP130" s="10"/>
      <c r="AQ130" s="452"/>
      <c r="AR130" s="453" t="s">
        <v>99</v>
      </c>
      <c r="AS130" s="454"/>
      <c r="AT130" s="455"/>
    </row>
    <row r="131" spans="1:46" ht="15.75" customHeight="1">
      <c r="A131" s="346" t="s">
        <v>364</v>
      </c>
      <c r="S131" s="521" t="s">
        <v>354</v>
      </c>
      <c r="T131" s="280" t="s">
        <v>293</v>
      </c>
      <c r="AD131" s="521" t="s">
        <v>360</v>
      </c>
      <c r="AE131" s="280" t="s">
        <v>310</v>
      </c>
    </row>
    <row r="132" spans="1:46" ht="15.75" customHeight="1">
      <c r="A132" s="346" t="s">
        <v>365</v>
      </c>
      <c r="T132" s="378" t="s">
        <v>294</v>
      </c>
      <c r="AE132" s="280" t="s">
        <v>304</v>
      </c>
    </row>
    <row r="133" spans="1:46" ht="15.75" customHeight="1">
      <c r="A133" s="346"/>
      <c r="T133" s="376" t="s">
        <v>370</v>
      </c>
      <c r="AE133" s="378" t="s">
        <v>296</v>
      </c>
    </row>
    <row r="134" spans="1:46" ht="15.75" customHeight="1">
      <c r="T134" s="378" t="s">
        <v>309</v>
      </c>
      <c r="AE134" s="378" t="s">
        <v>312</v>
      </c>
    </row>
    <row r="135" spans="1:46" ht="15.75" customHeight="1">
      <c r="T135" s="378" t="s">
        <v>311</v>
      </c>
      <c r="AE135" s="280" t="s">
        <v>366</v>
      </c>
    </row>
    <row r="136" spans="1:46" ht="15.75" customHeight="1">
      <c r="T136" s="280" t="s">
        <v>371</v>
      </c>
      <c r="AE136" s="378" t="s">
        <v>297</v>
      </c>
    </row>
    <row r="137" spans="1:46" ht="15.75" customHeight="1">
      <c r="T137" s="378" t="s">
        <v>298</v>
      </c>
      <c r="AE137" s="280" t="s">
        <v>305</v>
      </c>
    </row>
    <row r="138" spans="1:46" ht="15.75" customHeight="1">
      <c r="T138" s="378" t="s">
        <v>299</v>
      </c>
      <c r="AE138" s="378" t="s">
        <v>300</v>
      </c>
    </row>
    <row r="139" spans="1:46" ht="15.75" customHeight="1">
      <c r="T139" s="280" t="s">
        <v>372</v>
      </c>
      <c r="AE139" s="280" t="s">
        <v>374</v>
      </c>
    </row>
    <row r="140" spans="1:46" ht="15.75" customHeight="1">
      <c r="T140" s="280" t="s">
        <v>373</v>
      </c>
      <c r="AE140" s="280" t="s">
        <v>367</v>
      </c>
    </row>
    <row r="141" spans="1:46" ht="15.75" customHeight="1">
      <c r="T141" s="280" t="s">
        <v>301</v>
      </c>
      <c r="AE141" s="280" t="s">
        <v>368</v>
      </c>
    </row>
    <row r="142" spans="1:46" ht="15.75" customHeight="1">
      <c r="T142" s="280" t="s">
        <v>308</v>
      </c>
      <c r="AE142" s="378" t="s">
        <v>313</v>
      </c>
    </row>
    <row r="143" spans="1:46" ht="12.6" customHeight="1">
      <c r="T143" s="16" t="s">
        <v>295</v>
      </c>
      <c r="AE143" s="378" t="s">
        <v>306</v>
      </c>
    </row>
    <row r="144" spans="1:46" ht="12.6" customHeight="1">
      <c r="T144" s="16" t="s">
        <v>295</v>
      </c>
      <c r="AE144" s="280" t="s">
        <v>302</v>
      </c>
    </row>
    <row r="145" spans="20:31" ht="12.6" customHeight="1">
      <c r="T145" s="16" t="s">
        <v>295</v>
      </c>
      <c r="AE145" s="378" t="s">
        <v>369</v>
      </c>
    </row>
    <row r="146" spans="20:31" ht="12.6" customHeight="1">
      <c r="T146" s="16" t="s">
        <v>295</v>
      </c>
      <c r="AE146" s="495" t="s">
        <v>303</v>
      </c>
    </row>
    <row r="147" spans="20:31" ht="12.6" customHeight="1">
      <c r="T147" s="16" t="s">
        <v>295</v>
      </c>
      <c r="AE147" s="378" t="s">
        <v>307</v>
      </c>
    </row>
    <row r="148" spans="20:31" ht="12.6" customHeight="1"/>
    <row r="149" spans="20:31" ht="12.6" customHeight="1"/>
    <row r="150" spans="20:31" ht="12.6" customHeight="1"/>
    <row r="151" spans="20:31" ht="12.6" customHeight="1"/>
    <row r="152" spans="20:31" ht="12.6" customHeight="1"/>
    <row r="153" spans="20:31" ht="12.6" customHeight="1"/>
    <row r="154" spans="20:31" ht="12.6" customHeight="1"/>
    <row r="155" spans="20:31" ht="12.6" customHeight="1"/>
    <row r="156" spans="20:31" ht="12.6" customHeight="1"/>
    <row r="157" spans="20:31" ht="12.6" customHeight="1"/>
    <row r="158" spans="20:31" ht="12.6" customHeight="1"/>
    <row r="159" spans="20:31" ht="12.6" customHeight="1"/>
    <row r="160" spans="20:31"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row r="181" ht="12.6" customHeight="1"/>
    <row r="182" ht="12.6" customHeight="1"/>
    <row r="183" ht="12.6" customHeight="1"/>
    <row r="184" ht="12.6" customHeight="1"/>
    <row r="185" ht="12.6" customHeight="1"/>
    <row r="186" ht="12.6" customHeight="1"/>
    <row r="187" ht="12.6" customHeight="1"/>
    <row r="188" ht="12.6" customHeight="1"/>
  </sheetData>
  <mergeCells count="20">
    <mergeCell ref="AO1:AR1"/>
    <mergeCell ref="P2:Q2"/>
    <mergeCell ref="AO2:AR2"/>
    <mergeCell ref="H98:K98"/>
    <mergeCell ref="M98:O98"/>
    <mergeCell ref="V98:AD98"/>
    <mergeCell ref="H3:K3"/>
    <mergeCell ref="M1:O1"/>
    <mergeCell ref="V1:AD1"/>
    <mergeCell ref="N2:O2"/>
    <mergeCell ref="L1:L3"/>
    <mergeCell ref="P1:R1"/>
    <mergeCell ref="AF1:AN1"/>
    <mergeCell ref="M2:M3"/>
    <mergeCell ref="R2:R3"/>
    <mergeCell ref="A1:A3"/>
    <mergeCell ref="B1:B3"/>
    <mergeCell ref="C1:C3"/>
    <mergeCell ref="D1:F1"/>
    <mergeCell ref="H1:K2"/>
  </mergeCells>
  <phoneticPr fontId="1"/>
  <printOptions horizontalCentered="1"/>
  <pageMargins left="0.59055118110236227" right="0.39370078740157483" top="0.59055118110236227" bottom="0.19685039370078741" header="0.31496062992125984" footer="0.27559055118110237"/>
  <pageSetup paperSize="8" pageOrder="overThenDown" orientation="landscape" r:id="rId1"/>
  <headerFooter alignWithMargins="0">
    <oddHeader>&amp;C&amp;"ＭＳ ゴシック,太字 斜体"&amp;16&amp;H          塔状構造物の減衰データベース一覧　　　&amp;R&amp;"ＭＳ Ｐ明朝,太字 斜体"平成&amp;"Times New Roman,太字 斜体"27&amp;"ＭＳ Ｐ明朝,太字 斜体"年&amp;"Times New Roman,太字 斜体"11&amp;"ＭＳ Ｐ明朝,太字 斜体"月&amp;"Times New Roman,太字 斜体"30&amp;"ＭＳ Ｐ明朝,太字 斜体"日現在　</oddHeader>
    <oddFooter>&amp;R&amp;"ＭＳ Ｐ明朝,太字 斜体"Page &amp;P&amp;11/&amp;N</oddFooter>
  </headerFooter>
  <ignoredErrors>
    <ignoredError sqref="U11:AD130 U148:AD18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77"/>
  <sheetViews>
    <sheetView topLeftCell="S1" zoomScaleNormal="100" workbookViewId="0">
      <selection activeCell="AE10" sqref="AE10"/>
    </sheetView>
  </sheetViews>
  <sheetFormatPr defaultColWidth="10.625" defaultRowHeight="17.100000000000001" customHeight="1"/>
  <cols>
    <col min="1" max="1" width="10.5" style="345" bestFit="1" customWidth="1"/>
    <col min="2" max="3" width="9.25" style="16" bestFit="1" customWidth="1"/>
    <col min="4" max="4" width="5.25" style="16" bestFit="1" customWidth="1"/>
    <col min="5" max="5" width="4.375" style="16" bestFit="1" customWidth="1"/>
    <col min="6" max="6" width="4.625" style="16" bestFit="1" customWidth="1"/>
    <col min="7" max="7" width="6.875" style="16" bestFit="1" customWidth="1"/>
    <col min="8" max="8" width="5.25" style="16" bestFit="1" customWidth="1"/>
    <col min="9" max="9" width="3" style="16" bestFit="1" customWidth="1"/>
    <col min="10" max="10" width="5.25" style="16" bestFit="1" customWidth="1"/>
    <col min="11" max="11" width="7.625" style="16" bestFit="1" customWidth="1"/>
    <col min="12" max="12" width="12.625" style="16" customWidth="1"/>
    <col min="13" max="13" width="5.5" style="16" bestFit="1" customWidth="1"/>
    <col min="14" max="15" width="4.5" style="16" bestFit="1" customWidth="1"/>
    <col min="16" max="17" width="8.5" style="16" customWidth="1"/>
    <col min="18" max="18" width="6.125" style="16" bestFit="1" customWidth="1"/>
    <col min="19" max="19" width="10.5" style="16" bestFit="1" customWidth="1"/>
    <col min="20" max="20" width="15.875" style="16" bestFit="1" customWidth="1"/>
    <col min="21" max="21" width="9" style="16" customWidth="1"/>
    <col min="22" max="30" width="5.25" style="16" customWidth="1"/>
    <col min="31" max="31" width="16.125" style="16" customWidth="1"/>
    <col min="32" max="40" width="5.25" style="16" customWidth="1"/>
    <col min="41" max="41" width="10.75" style="231" customWidth="1"/>
    <col min="42" max="44" width="15.625" style="16" customWidth="1"/>
    <col min="45" max="45" width="10.125" style="16" customWidth="1"/>
    <col min="46" max="16384" width="10.625" style="153"/>
  </cols>
  <sheetData>
    <row r="1" spans="1:46" s="377" customFormat="1" ht="15.75" customHeight="1">
      <c r="A1" s="534" t="s">
        <v>363</v>
      </c>
      <c r="B1" s="537" t="s">
        <v>256</v>
      </c>
      <c r="C1" s="540" t="s">
        <v>345</v>
      </c>
      <c r="D1" s="543" t="s">
        <v>346</v>
      </c>
      <c r="E1" s="544"/>
      <c r="F1" s="545"/>
      <c r="G1" s="480" t="s">
        <v>315</v>
      </c>
      <c r="H1" s="546" t="s">
        <v>317</v>
      </c>
      <c r="I1" s="547"/>
      <c r="J1" s="547"/>
      <c r="K1" s="548"/>
      <c r="L1" s="572" t="s">
        <v>318</v>
      </c>
      <c r="M1" s="566" t="s">
        <v>319</v>
      </c>
      <c r="N1" s="567"/>
      <c r="O1" s="568"/>
      <c r="P1" s="566" t="s">
        <v>320</v>
      </c>
      <c r="Q1" s="567"/>
      <c r="R1" s="575"/>
      <c r="S1" s="481" t="s">
        <v>323</v>
      </c>
      <c r="T1" s="482" t="s">
        <v>258</v>
      </c>
      <c r="U1" s="480" t="s">
        <v>257</v>
      </c>
      <c r="V1" s="586" t="s">
        <v>340</v>
      </c>
      <c r="W1" s="587"/>
      <c r="X1" s="587"/>
      <c r="Y1" s="587"/>
      <c r="Z1" s="587"/>
      <c r="AA1" s="587"/>
      <c r="AB1" s="587"/>
      <c r="AC1" s="587"/>
      <c r="AD1" s="588"/>
      <c r="AE1" s="3" t="s">
        <v>267</v>
      </c>
      <c r="AF1" s="586" t="s">
        <v>336</v>
      </c>
      <c r="AG1" s="587"/>
      <c r="AH1" s="587"/>
      <c r="AI1" s="587"/>
      <c r="AJ1" s="587"/>
      <c r="AK1" s="587"/>
      <c r="AL1" s="587"/>
      <c r="AM1" s="587"/>
      <c r="AN1" s="588"/>
      <c r="AO1" s="580" t="s">
        <v>268</v>
      </c>
      <c r="AP1" s="581"/>
      <c r="AQ1" s="581"/>
      <c r="AR1" s="582"/>
      <c r="AS1" s="257"/>
    </row>
    <row r="2" spans="1:46" s="377" customFormat="1" ht="24" customHeight="1">
      <c r="A2" s="535"/>
      <c r="B2" s="538"/>
      <c r="C2" s="541"/>
      <c r="D2" s="483" t="s">
        <v>259</v>
      </c>
      <c r="E2" s="377" t="s">
        <v>260</v>
      </c>
      <c r="F2" s="484" t="s">
        <v>261</v>
      </c>
      <c r="G2" s="485" t="s">
        <v>347</v>
      </c>
      <c r="H2" s="549"/>
      <c r="I2" s="550"/>
      <c r="J2" s="550"/>
      <c r="K2" s="551"/>
      <c r="L2" s="573"/>
      <c r="M2" s="576" t="s">
        <v>262</v>
      </c>
      <c r="N2" s="564" t="s">
        <v>263</v>
      </c>
      <c r="O2" s="565"/>
      <c r="P2" s="564" t="s">
        <v>340</v>
      </c>
      <c r="Q2" s="565"/>
      <c r="R2" s="578" t="s">
        <v>348</v>
      </c>
      <c r="S2" s="486" t="s">
        <v>341</v>
      </c>
      <c r="T2" s="487" t="s">
        <v>341</v>
      </c>
      <c r="U2" s="485" t="s">
        <v>342</v>
      </c>
      <c r="V2" s="525" t="s">
        <v>324</v>
      </c>
      <c r="W2" s="488"/>
      <c r="X2" s="489"/>
      <c r="Y2" s="525" t="s">
        <v>325</v>
      </c>
      <c r="Z2" s="526"/>
      <c r="AA2" s="527"/>
      <c r="AB2" s="528" t="s">
        <v>326</v>
      </c>
      <c r="AC2" s="526"/>
      <c r="AD2" s="527"/>
      <c r="AE2" s="4" t="s">
        <v>337</v>
      </c>
      <c r="AF2" s="525" t="s">
        <v>324</v>
      </c>
      <c r="AG2" s="488"/>
      <c r="AH2" s="489"/>
      <c r="AI2" s="525" t="s">
        <v>325</v>
      </c>
      <c r="AJ2" s="526"/>
      <c r="AK2" s="527"/>
      <c r="AL2" s="528" t="s">
        <v>326</v>
      </c>
      <c r="AM2" s="526"/>
      <c r="AN2" s="527"/>
      <c r="AO2" s="583" t="s">
        <v>356</v>
      </c>
      <c r="AP2" s="584"/>
      <c r="AQ2" s="584"/>
      <c r="AR2" s="585"/>
      <c r="AS2" s="467" t="s">
        <v>101</v>
      </c>
    </row>
    <row r="3" spans="1:46" s="377" customFormat="1" ht="24" customHeight="1" thickBot="1">
      <c r="A3" s="536"/>
      <c r="B3" s="539"/>
      <c r="C3" s="542"/>
      <c r="D3" s="490" t="s">
        <v>349</v>
      </c>
      <c r="E3" s="491" t="s">
        <v>254</v>
      </c>
      <c r="F3" s="492" t="s">
        <v>350</v>
      </c>
      <c r="G3" s="493" t="s">
        <v>264</v>
      </c>
      <c r="H3" s="561" t="s">
        <v>316</v>
      </c>
      <c r="I3" s="562"/>
      <c r="J3" s="562"/>
      <c r="K3" s="563"/>
      <c r="L3" s="574"/>
      <c r="M3" s="577"/>
      <c r="N3" s="517" t="s">
        <v>351</v>
      </c>
      <c r="O3" s="518" t="s">
        <v>265</v>
      </c>
      <c r="P3" s="519" t="s">
        <v>321</v>
      </c>
      <c r="Q3" s="520" t="s">
        <v>322</v>
      </c>
      <c r="R3" s="579"/>
      <c r="S3" s="430" t="s">
        <v>266</v>
      </c>
      <c r="T3" s="493" t="s">
        <v>361</v>
      </c>
      <c r="U3" s="493" t="s">
        <v>343</v>
      </c>
      <c r="V3" s="519" t="s">
        <v>327</v>
      </c>
      <c r="W3" s="529" t="s">
        <v>328</v>
      </c>
      <c r="X3" s="520" t="s">
        <v>329</v>
      </c>
      <c r="Y3" s="519" t="s">
        <v>327</v>
      </c>
      <c r="Z3" s="529" t="s">
        <v>328</v>
      </c>
      <c r="AA3" s="520" t="s">
        <v>329</v>
      </c>
      <c r="AB3" s="519" t="s">
        <v>327</v>
      </c>
      <c r="AC3" s="529" t="s">
        <v>328</v>
      </c>
      <c r="AD3" s="520" t="s">
        <v>329</v>
      </c>
      <c r="AE3" s="524" t="s">
        <v>362</v>
      </c>
      <c r="AF3" s="519" t="s">
        <v>327</v>
      </c>
      <c r="AG3" s="529" t="s">
        <v>328</v>
      </c>
      <c r="AH3" s="520" t="s">
        <v>329</v>
      </c>
      <c r="AI3" s="519" t="s">
        <v>327</v>
      </c>
      <c r="AJ3" s="529" t="s">
        <v>328</v>
      </c>
      <c r="AK3" s="520" t="s">
        <v>329</v>
      </c>
      <c r="AL3" s="519" t="s">
        <v>327</v>
      </c>
      <c r="AM3" s="529" t="s">
        <v>328</v>
      </c>
      <c r="AN3" s="520" t="s">
        <v>329</v>
      </c>
      <c r="AO3" s="496" t="s">
        <v>338</v>
      </c>
      <c r="AP3" s="530" t="s">
        <v>330</v>
      </c>
      <c r="AQ3" s="531" t="s">
        <v>331</v>
      </c>
      <c r="AR3" s="532" t="s">
        <v>332</v>
      </c>
      <c r="AS3" s="429"/>
    </row>
    <row r="4" spans="1:46" ht="15.75" customHeight="1">
      <c r="A4" s="257" t="s">
        <v>199</v>
      </c>
      <c r="B4" s="381" t="s">
        <v>68</v>
      </c>
      <c r="C4" s="258"/>
      <c r="D4" s="259" t="s">
        <v>12</v>
      </c>
      <c r="E4" s="260" t="s">
        <v>12</v>
      </c>
      <c r="F4" s="5" t="s">
        <v>12</v>
      </c>
      <c r="G4" s="384">
        <v>160</v>
      </c>
      <c r="H4" s="261"/>
      <c r="I4" s="6"/>
      <c r="J4" s="17"/>
      <c r="K4" s="6"/>
      <c r="L4" s="25" t="s">
        <v>193</v>
      </c>
      <c r="M4" s="262"/>
      <c r="N4" s="263"/>
      <c r="O4" s="264"/>
      <c r="P4" s="265"/>
      <c r="Q4" s="29"/>
      <c r="R4" s="266"/>
      <c r="S4" s="24">
        <v>1</v>
      </c>
      <c r="T4" s="267"/>
      <c r="U4" s="268" t="s">
        <v>15</v>
      </c>
      <c r="V4" s="269">
        <v>2.2730000000000001</v>
      </c>
      <c r="W4" s="270" t="s">
        <v>12</v>
      </c>
      <c r="X4" s="271" t="s">
        <v>12</v>
      </c>
      <c r="Y4" s="272" t="s">
        <v>12</v>
      </c>
      <c r="Z4" s="270" t="s">
        <v>12</v>
      </c>
      <c r="AA4" s="271" t="s">
        <v>12</v>
      </c>
      <c r="AB4" s="272" t="s">
        <v>12</v>
      </c>
      <c r="AC4" s="270" t="s">
        <v>12</v>
      </c>
      <c r="AD4" s="273" t="s">
        <v>12</v>
      </c>
      <c r="AE4" s="24" t="s">
        <v>91</v>
      </c>
      <c r="AF4" s="32">
        <v>1</v>
      </c>
      <c r="AG4" s="33" t="s">
        <v>12</v>
      </c>
      <c r="AH4" s="34" t="s">
        <v>12</v>
      </c>
      <c r="AI4" s="32" t="s">
        <v>12</v>
      </c>
      <c r="AJ4" s="33" t="s">
        <v>12</v>
      </c>
      <c r="AK4" s="34" t="s">
        <v>12</v>
      </c>
      <c r="AL4" s="32" t="s">
        <v>12</v>
      </c>
      <c r="AM4" s="33" t="s">
        <v>12</v>
      </c>
      <c r="AN4" s="34" t="s">
        <v>12</v>
      </c>
      <c r="AO4" s="244"/>
      <c r="AP4" s="35"/>
      <c r="AQ4" s="36"/>
      <c r="AR4" s="37"/>
      <c r="AS4" s="468"/>
    </row>
    <row r="5" spans="1:46" ht="15.75" customHeight="1">
      <c r="A5" s="38"/>
      <c r="B5" s="54"/>
      <c r="C5" s="40"/>
      <c r="D5" s="41"/>
      <c r="E5" s="42"/>
      <c r="F5" s="41"/>
      <c r="G5" s="385"/>
      <c r="H5" s="43"/>
      <c r="I5" s="44"/>
      <c r="J5" s="45"/>
      <c r="K5" s="44"/>
      <c r="L5" s="46"/>
      <c r="M5" s="47"/>
      <c r="N5" s="316"/>
      <c r="O5" s="317"/>
      <c r="P5" s="50"/>
      <c r="Q5" s="51"/>
      <c r="R5" s="52"/>
      <c r="S5" s="53">
        <v>2</v>
      </c>
      <c r="T5" s="149" t="s">
        <v>93</v>
      </c>
      <c r="U5" s="156" t="s">
        <v>21</v>
      </c>
      <c r="V5" s="151" t="s">
        <v>12</v>
      </c>
      <c r="W5" s="139">
        <v>0.58499999999999996</v>
      </c>
      <c r="X5" s="140">
        <v>0.27</v>
      </c>
      <c r="Y5" s="141">
        <v>2.0409999999999999</v>
      </c>
      <c r="Z5" s="139">
        <v>0.58499999999999996</v>
      </c>
      <c r="AA5" s="140">
        <v>0.27</v>
      </c>
      <c r="AB5" s="141" t="s">
        <v>12</v>
      </c>
      <c r="AC5" s="139" t="s">
        <v>12</v>
      </c>
      <c r="AD5" s="142" t="s">
        <v>12</v>
      </c>
      <c r="AE5" s="53" t="s">
        <v>252</v>
      </c>
      <c r="AF5" s="59" t="s">
        <v>12</v>
      </c>
      <c r="AG5" s="60">
        <v>0.32400000000000001</v>
      </c>
      <c r="AH5" s="61">
        <v>0.32</v>
      </c>
      <c r="AI5" s="59">
        <v>1.63</v>
      </c>
      <c r="AJ5" s="60">
        <v>3.28</v>
      </c>
      <c r="AK5" s="61">
        <v>3.71</v>
      </c>
      <c r="AL5" s="59" t="s">
        <v>12</v>
      </c>
      <c r="AM5" s="60" t="s">
        <v>12</v>
      </c>
      <c r="AN5" s="61" t="s">
        <v>12</v>
      </c>
      <c r="AO5" s="245"/>
      <c r="AP5" s="62"/>
      <c r="AQ5" s="63"/>
      <c r="AR5" s="64"/>
      <c r="AS5" s="469"/>
    </row>
    <row r="6" spans="1:46" ht="15.75" customHeight="1">
      <c r="A6" s="67" t="s">
        <v>200</v>
      </c>
      <c r="B6" s="54" t="s">
        <v>71</v>
      </c>
      <c r="C6" s="40"/>
      <c r="D6" s="41" t="s">
        <v>195</v>
      </c>
      <c r="E6" s="350" t="s">
        <v>195</v>
      </c>
      <c r="F6" s="41" t="s">
        <v>195</v>
      </c>
      <c r="G6" s="385">
        <v>150</v>
      </c>
      <c r="H6" s="43">
        <v>24.5</v>
      </c>
      <c r="I6" s="44" t="s">
        <v>314</v>
      </c>
      <c r="J6" s="45">
        <v>24.5</v>
      </c>
      <c r="K6" s="44"/>
      <c r="L6" s="46" t="s">
        <v>194</v>
      </c>
      <c r="M6" s="47" t="s">
        <v>274</v>
      </c>
      <c r="N6" s="316">
        <v>5.5</v>
      </c>
      <c r="O6" s="317">
        <v>53</v>
      </c>
      <c r="P6" s="50">
        <v>1.5625</v>
      </c>
      <c r="Q6" s="51"/>
      <c r="R6" s="52"/>
      <c r="S6" s="39" t="s">
        <v>195</v>
      </c>
      <c r="T6" s="54" t="s">
        <v>85</v>
      </c>
      <c r="U6" s="196"/>
      <c r="V6" s="55">
        <v>1.639344262295082</v>
      </c>
      <c r="W6" s="56" t="s">
        <v>195</v>
      </c>
      <c r="X6" s="51" t="s">
        <v>195</v>
      </c>
      <c r="Y6" s="57">
        <v>0.38759689922480617</v>
      </c>
      <c r="Z6" s="56" t="s">
        <v>195</v>
      </c>
      <c r="AA6" s="51" t="s">
        <v>195</v>
      </c>
      <c r="AB6" s="57" t="s">
        <v>195</v>
      </c>
      <c r="AC6" s="56" t="s">
        <v>195</v>
      </c>
      <c r="AD6" s="58" t="s">
        <v>195</v>
      </c>
      <c r="AE6" s="39" t="s">
        <v>92</v>
      </c>
      <c r="AF6" s="146">
        <v>0.64</v>
      </c>
      <c r="AG6" s="144" t="s">
        <v>195</v>
      </c>
      <c r="AH6" s="145" t="s">
        <v>195</v>
      </c>
      <c r="AI6" s="146">
        <v>1.7</v>
      </c>
      <c r="AJ6" s="144" t="s">
        <v>195</v>
      </c>
      <c r="AK6" s="145" t="s">
        <v>195</v>
      </c>
      <c r="AL6" s="146" t="s">
        <v>195</v>
      </c>
      <c r="AM6" s="144" t="s">
        <v>195</v>
      </c>
      <c r="AN6" s="145" t="s">
        <v>195</v>
      </c>
      <c r="AO6" s="250" t="s">
        <v>289</v>
      </c>
      <c r="AP6" s="147">
        <v>90</v>
      </c>
      <c r="AQ6" s="44">
        <v>9</v>
      </c>
      <c r="AR6" s="220"/>
      <c r="AS6" s="469"/>
    </row>
    <row r="7" spans="1:46" ht="15.75" customHeight="1">
      <c r="A7" s="67" t="s">
        <v>201</v>
      </c>
      <c r="B7" s="82"/>
      <c r="C7" s="69"/>
      <c r="D7" s="218" t="s">
        <v>12</v>
      </c>
      <c r="E7" s="218" t="s">
        <v>12</v>
      </c>
      <c r="F7" s="219" t="s">
        <v>12</v>
      </c>
      <c r="G7" s="387">
        <v>120</v>
      </c>
      <c r="H7" s="72"/>
      <c r="I7" s="73"/>
      <c r="J7" s="74"/>
      <c r="K7" s="73"/>
      <c r="L7" s="75" t="s">
        <v>193</v>
      </c>
      <c r="M7" s="76"/>
      <c r="N7" s="152"/>
      <c r="O7" s="95"/>
      <c r="P7" s="79"/>
      <c r="Q7" s="80"/>
      <c r="R7" s="81"/>
      <c r="S7" s="68" t="s">
        <v>12</v>
      </c>
      <c r="T7" s="351" t="s">
        <v>86</v>
      </c>
      <c r="U7" s="83"/>
      <c r="V7" s="84">
        <v>1.39</v>
      </c>
      <c r="W7" s="85">
        <v>0.31</v>
      </c>
      <c r="X7" s="80" t="s">
        <v>12</v>
      </c>
      <c r="Y7" s="86" t="s">
        <v>12</v>
      </c>
      <c r="Z7" s="85" t="s">
        <v>12</v>
      </c>
      <c r="AA7" s="80" t="s">
        <v>12</v>
      </c>
      <c r="AB7" s="86" t="s">
        <v>12</v>
      </c>
      <c r="AC7" s="85" t="s">
        <v>12</v>
      </c>
      <c r="AD7" s="87" t="s">
        <v>12</v>
      </c>
      <c r="AE7" s="68"/>
      <c r="AF7" s="88">
        <v>0.7</v>
      </c>
      <c r="AG7" s="89" t="s">
        <v>12</v>
      </c>
      <c r="AH7" s="90" t="s">
        <v>12</v>
      </c>
      <c r="AI7" s="88" t="s">
        <v>12</v>
      </c>
      <c r="AJ7" s="89" t="s">
        <v>12</v>
      </c>
      <c r="AK7" s="90" t="s">
        <v>12</v>
      </c>
      <c r="AL7" s="88" t="s">
        <v>12</v>
      </c>
      <c r="AM7" s="89" t="s">
        <v>12</v>
      </c>
      <c r="AN7" s="90" t="s">
        <v>12</v>
      </c>
      <c r="AO7" s="246"/>
      <c r="AP7" s="91"/>
      <c r="AQ7" s="73"/>
      <c r="AR7" s="92"/>
      <c r="AS7" s="470"/>
    </row>
    <row r="8" spans="1:46" ht="15.75" customHeight="1">
      <c r="A8" s="67" t="s">
        <v>202</v>
      </c>
      <c r="B8" s="82"/>
      <c r="C8" s="69"/>
      <c r="D8" s="218" t="s">
        <v>12</v>
      </c>
      <c r="E8" s="218" t="s">
        <v>12</v>
      </c>
      <c r="F8" s="219" t="s">
        <v>12</v>
      </c>
      <c r="G8" s="387">
        <v>79.5</v>
      </c>
      <c r="H8" s="72"/>
      <c r="I8" s="73"/>
      <c r="J8" s="74"/>
      <c r="K8" s="73"/>
      <c r="L8" s="75" t="s">
        <v>193</v>
      </c>
      <c r="M8" s="76"/>
      <c r="N8" s="152"/>
      <c r="O8" s="95"/>
      <c r="P8" s="79"/>
      <c r="Q8" s="80"/>
      <c r="R8" s="81"/>
      <c r="S8" s="68" t="s">
        <v>12</v>
      </c>
      <c r="T8" s="351" t="s">
        <v>86</v>
      </c>
      <c r="U8" s="83"/>
      <c r="V8" s="84">
        <v>1.18</v>
      </c>
      <c r="W8" s="85">
        <v>1.21</v>
      </c>
      <c r="X8" s="80" t="s">
        <v>12</v>
      </c>
      <c r="Y8" s="86" t="s">
        <v>12</v>
      </c>
      <c r="Z8" s="85" t="s">
        <v>12</v>
      </c>
      <c r="AA8" s="80" t="s">
        <v>12</v>
      </c>
      <c r="AB8" s="86" t="s">
        <v>12</v>
      </c>
      <c r="AC8" s="85" t="s">
        <v>12</v>
      </c>
      <c r="AD8" s="87" t="s">
        <v>12</v>
      </c>
      <c r="AE8" s="68"/>
      <c r="AF8" s="88">
        <v>0.1</v>
      </c>
      <c r="AG8" s="89" t="s">
        <v>12</v>
      </c>
      <c r="AH8" s="90" t="s">
        <v>12</v>
      </c>
      <c r="AI8" s="88" t="s">
        <v>12</v>
      </c>
      <c r="AJ8" s="89" t="s">
        <v>12</v>
      </c>
      <c r="AK8" s="90" t="s">
        <v>12</v>
      </c>
      <c r="AL8" s="88" t="s">
        <v>12</v>
      </c>
      <c r="AM8" s="89" t="s">
        <v>12</v>
      </c>
      <c r="AN8" s="90" t="s">
        <v>12</v>
      </c>
      <c r="AO8" s="246"/>
      <c r="AP8" s="91"/>
      <c r="AQ8" s="73"/>
      <c r="AR8" s="92"/>
      <c r="AS8" s="470"/>
    </row>
    <row r="9" spans="1:46" ht="15.75" customHeight="1">
      <c r="A9" s="67" t="s">
        <v>203</v>
      </c>
      <c r="B9" s="82"/>
      <c r="C9" s="69"/>
      <c r="D9" s="218" t="s">
        <v>12</v>
      </c>
      <c r="E9" s="218" t="s">
        <v>12</v>
      </c>
      <c r="F9" s="219" t="s">
        <v>12</v>
      </c>
      <c r="G9" s="387">
        <v>77</v>
      </c>
      <c r="H9" s="72"/>
      <c r="I9" s="73"/>
      <c r="J9" s="74"/>
      <c r="K9" s="73"/>
      <c r="L9" s="75" t="s">
        <v>193</v>
      </c>
      <c r="M9" s="76"/>
      <c r="N9" s="152"/>
      <c r="O9" s="95"/>
      <c r="P9" s="79"/>
      <c r="Q9" s="80"/>
      <c r="R9" s="81"/>
      <c r="S9" s="68" t="s">
        <v>12</v>
      </c>
      <c r="T9" s="82" t="s">
        <v>85</v>
      </c>
      <c r="U9" s="83"/>
      <c r="V9" s="84">
        <v>1.2</v>
      </c>
      <c r="W9" s="85" t="s">
        <v>12</v>
      </c>
      <c r="X9" s="80" t="s">
        <v>12</v>
      </c>
      <c r="Y9" s="86" t="s">
        <v>12</v>
      </c>
      <c r="Z9" s="85" t="s">
        <v>12</v>
      </c>
      <c r="AA9" s="80" t="s">
        <v>12</v>
      </c>
      <c r="AB9" s="86" t="s">
        <v>12</v>
      </c>
      <c r="AC9" s="85" t="s">
        <v>12</v>
      </c>
      <c r="AD9" s="87" t="s">
        <v>12</v>
      </c>
      <c r="AE9" s="68"/>
      <c r="AF9" s="88">
        <v>0.56999999999999995</v>
      </c>
      <c r="AG9" s="89" t="s">
        <v>12</v>
      </c>
      <c r="AH9" s="90" t="s">
        <v>12</v>
      </c>
      <c r="AI9" s="88" t="s">
        <v>12</v>
      </c>
      <c r="AJ9" s="89" t="s">
        <v>12</v>
      </c>
      <c r="AK9" s="90" t="s">
        <v>12</v>
      </c>
      <c r="AL9" s="88" t="s">
        <v>12</v>
      </c>
      <c r="AM9" s="89" t="s">
        <v>12</v>
      </c>
      <c r="AN9" s="90" t="s">
        <v>12</v>
      </c>
      <c r="AO9" s="246"/>
      <c r="AP9" s="91"/>
      <c r="AQ9" s="73"/>
      <c r="AR9" s="92"/>
      <c r="AS9" s="470"/>
    </row>
    <row r="10" spans="1:46" ht="15.75" customHeight="1">
      <c r="A10" s="67" t="s">
        <v>204</v>
      </c>
      <c r="B10" s="82"/>
      <c r="C10" s="69"/>
      <c r="D10" s="218" t="s">
        <v>12</v>
      </c>
      <c r="E10" s="218" t="s">
        <v>12</v>
      </c>
      <c r="F10" s="219" t="s">
        <v>12</v>
      </c>
      <c r="G10" s="387">
        <v>76.2</v>
      </c>
      <c r="H10" s="72"/>
      <c r="I10" s="73"/>
      <c r="J10" s="74"/>
      <c r="K10" s="73"/>
      <c r="L10" s="75" t="s">
        <v>193</v>
      </c>
      <c r="M10" s="76"/>
      <c r="N10" s="152"/>
      <c r="O10" s="95"/>
      <c r="P10" s="79"/>
      <c r="Q10" s="80"/>
      <c r="R10" s="81"/>
      <c r="S10" s="68" t="s">
        <v>12</v>
      </c>
      <c r="T10" s="351" t="s">
        <v>86</v>
      </c>
      <c r="U10" s="83"/>
      <c r="V10" s="84">
        <v>0.88</v>
      </c>
      <c r="W10" s="85">
        <v>0.2</v>
      </c>
      <c r="X10" s="80" t="s">
        <v>12</v>
      </c>
      <c r="Y10" s="86" t="s">
        <v>12</v>
      </c>
      <c r="Z10" s="85" t="s">
        <v>12</v>
      </c>
      <c r="AA10" s="80" t="s">
        <v>12</v>
      </c>
      <c r="AB10" s="86" t="s">
        <v>12</v>
      </c>
      <c r="AC10" s="85" t="s">
        <v>12</v>
      </c>
      <c r="AD10" s="87" t="s">
        <v>12</v>
      </c>
      <c r="AE10" s="68"/>
      <c r="AF10" s="88">
        <v>0.95</v>
      </c>
      <c r="AG10" s="89" t="s">
        <v>12</v>
      </c>
      <c r="AH10" s="90" t="s">
        <v>12</v>
      </c>
      <c r="AI10" s="88" t="s">
        <v>12</v>
      </c>
      <c r="AJ10" s="89" t="s">
        <v>12</v>
      </c>
      <c r="AK10" s="90" t="s">
        <v>12</v>
      </c>
      <c r="AL10" s="88" t="s">
        <v>12</v>
      </c>
      <c r="AM10" s="89" t="s">
        <v>12</v>
      </c>
      <c r="AN10" s="90" t="s">
        <v>12</v>
      </c>
      <c r="AO10" s="246"/>
      <c r="AP10" s="91"/>
      <c r="AQ10" s="73"/>
      <c r="AR10" s="92"/>
      <c r="AS10" s="470"/>
    </row>
    <row r="11" spans="1:46" ht="15.75" customHeight="1">
      <c r="A11" s="67" t="s">
        <v>205</v>
      </c>
      <c r="B11" s="82"/>
      <c r="C11" s="69"/>
      <c r="D11" s="218" t="s">
        <v>12</v>
      </c>
      <c r="E11" s="218" t="s">
        <v>12</v>
      </c>
      <c r="F11" s="219" t="s">
        <v>12</v>
      </c>
      <c r="G11" s="387">
        <v>76.2</v>
      </c>
      <c r="H11" s="72"/>
      <c r="I11" s="73"/>
      <c r="J11" s="74"/>
      <c r="K11" s="73"/>
      <c r="L11" s="75" t="s">
        <v>193</v>
      </c>
      <c r="M11" s="76"/>
      <c r="N11" s="152"/>
      <c r="O11" s="95"/>
      <c r="P11" s="79"/>
      <c r="Q11" s="80"/>
      <c r="R11" s="81"/>
      <c r="S11" s="68" t="s">
        <v>12</v>
      </c>
      <c r="T11" s="351" t="s">
        <v>86</v>
      </c>
      <c r="U11" s="83"/>
      <c r="V11" s="84">
        <v>0.71</v>
      </c>
      <c r="W11" s="85">
        <v>0.16</v>
      </c>
      <c r="X11" s="80" t="s">
        <v>12</v>
      </c>
      <c r="Y11" s="86" t="s">
        <v>12</v>
      </c>
      <c r="Z11" s="85" t="s">
        <v>12</v>
      </c>
      <c r="AA11" s="80" t="s">
        <v>12</v>
      </c>
      <c r="AB11" s="86" t="s">
        <v>12</v>
      </c>
      <c r="AC11" s="85" t="s">
        <v>12</v>
      </c>
      <c r="AD11" s="87" t="s">
        <v>12</v>
      </c>
      <c r="AE11" s="68"/>
      <c r="AF11" s="88">
        <v>0.65</v>
      </c>
      <c r="AG11" s="89" t="s">
        <v>12</v>
      </c>
      <c r="AH11" s="90" t="s">
        <v>12</v>
      </c>
      <c r="AI11" s="88" t="s">
        <v>12</v>
      </c>
      <c r="AJ11" s="89" t="s">
        <v>12</v>
      </c>
      <c r="AK11" s="90" t="s">
        <v>12</v>
      </c>
      <c r="AL11" s="88" t="s">
        <v>12</v>
      </c>
      <c r="AM11" s="89" t="s">
        <v>12</v>
      </c>
      <c r="AN11" s="90" t="s">
        <v>12</v>
      </c>
      <c r="AO11" s="246"/>
      <c r="AP11" s="91"/>
      <c r="AQ11" s="73"/>
      <c r="AR11" s="92"/>
      <c r="AS11" s="470"/>
    </row>
    <row r="12" spans="1:46" ht="15.75" customHeight="1">
      <c r="A12" s="67" t="s">
        <v>206</v>
      </c>
      <c r="B12" s="82"/>
      <c r="C12" s="69"/>
      <c r="D12" s="218" t="s">
        <v>12</v>
      </c>
      <c r="E12" s="218" t="s">
        <v>12</v>
      </c>
      <c r="F12" s="219" t="s">
        <v>12</v>
      </c>
      <c r="G12" s="387">
        <v>75.5</v>
      </c>
      <c r="H12" s="72"/>
      <c r="I12" s="73"/>
      <c r="J12" s="74"/>
      <c r="K12" s="73"/>
      <c r="L12" s="75" t="s">
        <v>193</v>
      </c>
      <c r="M12" s="76"/>
      <c r="N12" s="152"/>
      <c r="O12" s="95"/>
      <c r="P12" s="79"/>
      <c r="Q12" s="80"/>
      <c r="R12" s="81"/>
      <c r="S12" s="68" t="s">
        <v>12</v>
      </c>
      <c r="T12" s="351" t="s">
        <v>86</v>
      </c>
      <c r="U12" s="83"/>
      <c r="V12" s="84">
        <v>0.9</v>
      </c>
      <c r="W12" s="85">
        <v>0.22</v>
      </c>
      <c r="X12" s="80" t="s">
        <v>12</v>
      </c>
      <c r="Y12" s="86" t="s">
        <v>12</v>
      </c>
      <c r="Z12" s="85" t="s">
        <v>12</v>
      </c>
      <c r="AA12" s="80" t="s">
        <v>12</v>
      </c>
      <c r="AB12" s="86" t="s">
        <v>12</v>
      </c>
      <c r="AC12" s="85" t="s">
        <v>12</v>
      </c>
      <c r="AD12" s="87" t="s">
        <v>12</v>
      </c>
      <c r="AE12" s="68"/>
      <c r="AF12" s="88">
        <v>0.9</v>
      </c>
      <c r="AG12" s="89" t="s">
        <v>12</v>
      </c>
      <c r="AH12" s="90" t="s">
        <v>12</v>
      </c>
      <c r="AI12" s="88" t="s">
        <v>12</v>
      </c>
      <c r="AJ12" s="89" t="s">
        <v>12</v>
      </c>
      <c r="AK12" s="90" t="s">
        <v>12</v>
      </c>
      <c r="AL12" s="88" t="s">
        <v>12</v>
      </c>
      <c r="AM12" s="89" t="s">
        <v>12</v>
      </c>
      <c r="AN12" s="90" t="s">
        <v>12</v>
      </c>
      <c r="AO12" s="246"/>
      <c r="AP12" s="91"/>
      <c r="AQ12" s="73"/>
      <c r="AR12" s="92"/>
      <c r="AS12" s="470"/>
    </row>
    <row r="13" spans="1:46" ht="15.75" customHeight="1">
      <c r="A13" s="67" t="s">
        <v>207</v>
      </c>
      <c r="B13" s="82"/>
      <c r="C13" s="69"/>
      <c r="D13" s="218" t="s">
        <v>12</v>
      </c>
      <c r="E13" s="218" t="s">
        <v>12</v>
      </c>
      <c r="F13" s="219" t="s">
        <v>12</v>
      </c>
      <c r="G13" s="387">
        <v>70</v>
      </c>
      <c r="H13" s="72"/>
      <c r="I13" s="73"/>
      <c r="J13" s="74"/>
      <c r="K13" s="73"/>
      <c r="L13" s="75" t="s">
        <v>193</v>
      </c>
      <c r="M13" s="76"/>
      <c r="N13" s="152"/>
      <c r="O13" s="95"/>
      <c r="P13" s="79"/>
      <c r="Q13" s="80"/>
      <c r="R13" s="81"/>
      <c r="S13" s="68" t="s">
        <v>12</v>
      </c>
      <c r="T13" s="82" t="s">
        <v>85</v>
      </c>
      <c r="U13" s="83"/>
      <c r="V13" s="84">
        <v>1.22</v>
      </c>
      <c r="W13" s="85">
        <v>0.3</v>
      </c>
      <c r="X13" s="80" t="s">
        <v>12</v>
      </c>
      <c r="Y13" s="86" t="s">
        <v>12</v>
      </c>
      <c r="Z13" s="85" t="s">
        <v>12</v>
      </c>
      <c r="AA13" s="80" t="s">
        <v>12</v>
      </c>
      <c r="AB13" s="86" t="s">
        <v>12</v>
      </c>
      <c r="AC13" s="85" t="s">
        <v>12</v>
      </c>
      <c r="AD13" s="87" t="s">
        <v>12</v>
      </c>
      <c r="AE13" s="68"/>
      <c r="AF13" s="88">
        <v>0.2</v>
      </c>
      <c r="AG13" s="89" t="s">
        <v>12</v>
      </c>
      <c r="AH13" s="90" t="s">
        <v>12</v>
      </c>
      <c r="AI13" s="88" t="s">
        <v>12</v>
      </c>
      <c r="AJ13" s="89" t="s">
        <v>12</v>
      </c>
      <c r="AK13" s="90" t="s">
        <v>12</v>
      </c>
      <c r="AL13" s="88" t="s">
        <v>12</v>
      </c>
      <c r="AM13" s="89" t="s">
        <v>12</v>
      </c>
      <c r="AN13" s="90" t="s">
        <v>12</v>
      </c>
      <c r="AO13" s="246"/>
      <c r="AP13" s="91"/>
      <c r="AQ13" s="73"/>
      <c r="AR13" s="92"/>
      <c r="AS13" s="470"/>
    </row>
    <row r="14" spans="1:46" ht="15.75" customHeight="1">
      <c r="A14" s="157" t="s">
        <v>208</v>
      </c>
      <c r="B14" s="158"/>
      <c r="C14" s="159"/>
      <c r="D14" s="223" t="s">
        <v>12</v>
      </c>
      <c r="E14" s="224" t="s">
        <v>12</v>
      </c>
      <c r="F14" s="225" t="s">
        <v>12</v>
      </c>
      <c r="G14" s="386">
        <v>70</v>
      </c>
      <c r="H14" s="162"/>
      <c r="I14" s="163"/>
      <c r="J14" s="164"/>
      <c r="K14" s="163"/>
      <c r="L14" s="165" t="s">
        <v>193</v>
      </c>
      <c r="M14" s="166"/>
      <c r="N14" s="197"/>
      <c r="O14" s="198"/>
      <c r="P14" s="169"/>
      <c r="Q14" s="170"/>
      <c r="R14" s="171"/>
      <c r="S14" s="158" t="s">
        <v>12</v>
      </c>
      <c r="T14" s="199" t="s">
        <v>85</v>
      </c>
      <c r="U14" s="200"/>
      <c r="V14" s="201">
        <v>1.1499999999999999</v>
      </c>
      <c r="W14" s="202">
        <v>0.28999999999999998</v>
      </c>
      <c r="X14" s="170" t="s">
        <v>12</v>
      </c>
      <c r="Y14" s="203" t="s">
        <v>12</v>
      </c>
      <c r="Z14" s="202" t="s">
        <v>12</v>
      </c>
      <c r="AA14" s="170" t="s">
        <v>12</v>
      </c>
      <c r="AB14" s="203" t="s">
        <v>12</v>
      </c>
      <c r="AC14" s="202" t="s">
        <v>12</v>
      </c>
      <c r="AD14" s="204" t="s">
        <v>12</v>
      </c>
      <c r="AE14" s="158"/>
      <c r="AF14" s="205">
        <v>0.1</v>
      </c>
      <c r="AG14" s="206" t="s">
        <v>12</v>
      </c>
      <c r="AH14" s="207" t="s">
        <v>12</v>
      </c>
      <c r="AI14" s="205" t="s">
        <v>12</v>
      </c>
      <c r="AJ14" s="206" t="s">
        <v>12</v>
      </c>
      <c r="AK14" s="207" t="s">
        <v>12</v>
      </c>
      <c r="AL14" s="205" t="s">
        <v>12</v>
      </c>
      <c r="AM14" s="206" t="s">
        <v>12</v>
      </c>
      <c r="AN14" s="207" t="s">
        <v>12</v>
      </c>
      <c r="AO14" s="253"/>
      <c r="AP14" s="208"/>
      <c r="AQ14" s="163"/>
      <c r="AR14" s="209"/>
      <c r="AS14" s="471"/>
    </row>
    <row r="15" spans="1:46" s="7" customFormat="1" ht="15.75" customHeight="1">
      <c r="A15" s="210"/>
      <c r="B15" s="211"/>
      <c r="C15" s="211"/>
      <c r="D15" s="212"/>
      <c r="E15" s="212"/>
      <c r="F15" s="212"/>
      <c r="G15" s="213"/>
      <c r="H15" s="558"/>
      <c r="I15" s="558"/>
      <c r="J15" s="558"/>
      <c r="K15" s="558"/>
      <c r="L15" s="214"/>
      <c r="M15" s="559"/>
      <c r="N15" s="559"/>
      <c r="O15" s="559"/>
      <c r="P15" s="215"/>
      <c r="Q15" s="215"/>
      <c r="R15" s="215"/>
      <c r="S15" s="213"/>
      <c r="T15" s="211"/>
      <c r="U15" s="211"/>
      <c r="V15" s="560"/>
      <c r="W15" s="560"/>
      <c r="X15" s="560"/>
      <c r="Y15" s="560"/>
      <c r="Z15" s="560"/>
      <c r="AA15" s="560"/>
      <c r="AB15" s="560"/>
      <c r="AC15" s="560"/>
      <c r="AD15" s="560"/>
      <c r="AE15" s="211"/>
      <c r="AF15" s="216"/>
      <c r="AG15" s="215"/>
      <c r="AH15" s="215"/>
      <c r="AI15" s="215"/>
      <c r="AJ15" s="215"/>
      <c r="AK15" s="215"/>
      <c r="AL15" s="215"/>
      <c r="AM15" s="215"/>
      <c r="AN15" s="215"/>
      <c r="AO15" s="373"/>
      <c r="AP15" s="215"/>
      <c r="AQ15" s="215"/>
      <c r="AR15" s="215"/>
      <c r="AS15" s="217"/>
      <c r="AT15" s="377"/>
    </row>
    <row r="16" spans="1:46" ht="15.75" customHeight="1">
      <c r="A16" s="12" t="s">
        <v>209</v>
      </c>
      <c r="B16" s="13"/>
      <c r="C16" s="14"/>
      <c r="D16" s="340"/>
      <c r="E16" s="340"/>
      <c r="F16" s="8"/>
      <c r="G16" s="388">
        <v>230</v>
      </c>
      <c r="H16" s="391"/>
      <c r="J16" s="96"/>
      <c r="K16" s="16" t="s">
        <v>269</v>
      </c>
      <c r="L16" s="18" t="s">
        <v>194</v>
      </c>
      <c r="M16" s="19"/>
      <c r="N16" s="154"/>
      <c r="O16" s="155"/>
      <c r="P16" s="22"/>
      <c r="Q16" s="21"/>
      <c r="R16" s="23"/>
      <c r="S16" s="99" t="s">
        <v>34</v>
      </c>
      <c r="T16" s="352" t="s">
        <v>86</v>
      </c>
      <c r="U16" s="345"/>
      <c r="V16" s="102">
        <f>1/0.4</f>
        <v>2.5</v>
      </c>
      <c r="W16" s="103">
        <f>1/0.41</f>
        <v>2.4390243902439024</v>
      </c>
      <c r="X16" s="104">
        <f>1/1.47</f>
        <v>0.68027210884353739</v>
      </c>
      <c r="Y16" s="103" t="s">
        <v>99</v>
      </c>
      <c r="Z16" s="103" t="s">
        <v>99</v>
      </c>
      <c r="AA16" s="104" t="s">
        <v>99</v>
      </c>
      <c r="AB16" s="103" t="s">
        <v>99</v>
      </c>
      <c r="AC16" s="103" t="s">
        <v>99</v>
      </c>
      <c r="AD16" s="342" t="s">
        <v>99</v>
      </c>
      <c r="AE16" s="99" t="s">
        <v>90</v>
      </c>
      <c r="AF16" s="107">
        <v>0.18</v>
      </c>
      <c r="AG16" s="108">
        <v>0.3</v>
      </c>
      <c r="AH16" s="195">
        <v>0.83</v>
      </c>
      <c r="AI16" s="108" t="s">
        <v>99</v>
      </c>
      <c r="AJ16" s="108" t="s">
        <v>99</v>
      </c>
      <c r="AK16" s="195" t="s">
        <v>99</v>
      </c>
      <c r="AL16" s="108" t="s">
        <v>99</v>
      </c>
      <c r="AM16" s="108" t="s">
        <v>99</v>
      </c>
      <c r="AN16" s="195" t="s">
        <v>99</v>
      </c>
      <c r="AO16" s="247" t="s">
        <v>289</v>
      </c>
      <c r="AP16" s="110"/>
      <c r="AQ16" s="111"/>
      <c r="AR16" s="129" t="s">
        <v>99</v>
      </c>
      <c r="AS16" s="472"/>
    </row>
    <row r="17" spans="1:46" ht="15.75" customHeight="1">
      <c r="A17" s="12"/>
      <c r="B17" s="13"/>
      <c r="C17" s="14"/>
      <c r="D17" s="340"/>
      <c r="E17" s="340"/>
      <c r="F17" s="8"/>
      <c r="G17" s="388"/>
      <c r="H17" s="391"/>
      <c r="J17" s="96"/>
      <c r="L17" s="18"/>
      <c r="M17" s="19"/>
      <c r="N17" s="154"/>
      <c r="O17" s="155"/>
      <c r="P17" s="22"/>
      <c r="Q17" s="21"/>
      <c r="R17" s="23"/>
      <c r="S17" s="115" t="s">
        <v>8</v>
      </c>
      <c r="T17" s="353"/>
      <c r="U17" s="354"/>
      <c r="V17" s="118">
        <f>1/0.4</f>
        <v>2.5</v>
      </c>
      <c r="W17" s="119">
        <f>1/0.41</f>
        <v>2.4390243902439024</v>
      </c>
      <c r="X17" s="120">
        <f>1/1.47</f>
        <v>0.68027210884353739</v>
      </c>
      <c r="Y17" s="119" t="s">
        <v>99</v>
      </c>
      <c r="Z17" s="119" t="s">
        <v>99</v>
      </c>
      <c r="AA17" s="120" t="s">
        <v>99</v>
      </c>
      <c r="AB17" s="119" t="s">
        <v>99</v>
      </c>
      <c r="AC17" s="119" t="s">
        <v>99</v>
      </c>
      <c r="AD17" s="355" t="s">
        <v>99</v>
      </c>
      <c r="AE17" s="115" t="s">
        <v>85</v>
      </c>
      <c r="AF17" s="124">
        <v>0.24</v>
      </c>
      <c r="AG17" s="125">
        <v>0.39</v>
      </c>
      <c r="AH17" s="185">
        <v>0.3</v>
      </c>
      <c r="AI17" s="125" t="s">
        <v>99</v>
      </c>
      <c r="AJ17" s="125" t="s">
        <v>99</v>
      </c>
      <c r="AK17" s="185" t="s">
        <v>99</v>
      </c>
      <c r="AL17" s="125" t="s">
        <v>99</v>
      </c>
      <c r="AM17" s="125" t="s">
        <v>99</v>
      </c>
      <c r="AN17" s="185" t="s">
        <v>99</v>
      </c>
      <c r="AO17" s="248" t="s">
        <v>289</v>
      </c>
      <c r="AP17" s="127"/>
      <c r="AQ17" s="128"/>
      <c r="AR17" s="137" t="s">
        <v>99</v>
      </c>
      <c r="AS17" s="473"/>
    </row>
    <row r="18" spans="1:46" ht="15.75" customHeight="1">
      <c r="A18" s="12"/>
      <c r="B18" s="13"/>
      <c r="C18" s="14"/>
      <c r="D18" s="340"/>
      <c r="E18" s="340"/>
      <c r="F18" s="8"/>
      <c r="G18" s="388"/>
      <c r="H18" s="391"/>
      <c r="J18" s="96"/>
      <c r="L18" s="18"/>
      <c r="M18" s="19"/>
      <c r="N18" s="154"/>
      <c r="O18" s="155"/>
      <c r="P18" s="22"/>
      <c r="Q18" s="21"/>
      <c r="R18" s="23"/>
      <c r="S18" s="115" t="s">
        <v>0</v>
      </c>
      <c r="T18" s="116" t="s">
        <v>84</v>
      </c>
      <c r="U18" s="356"/>
      <c r="V18" s="118">
        <f>1/0.4</f>
        <v>2.5</v>
      </c>
      <c r="W18" s="119">
        <f>1/0.41</f>
        <v>2.4390243902439024</v>
      </c>
      <c r="X18" s="120" t="s">
        <v>99</v>
      </c>
      <c r="Y18" s="119" t="s">
        <v>99</v>
      </c>
      <c r="Z18" s="119" t="s">
        <v>99</v>
      </c>
      <c r="AA18" s="120" t="s">
        <v>99</v>
      </c>
      <c r="AB18" s="119" t="s">
        <v>99</v>
      </c>
      <c r="AC18" s="119" t="s">
        <v>99</v>
      </c>
      <c r="AD18" s="355" t="s">
        <v>99</v>
      </c>
      <c r="AE18" s="115" t="s">
        <v>90</v>
      </c>
      <c r="AF18" s="124">
        <v>0.56999999999999995</v>
      </c>
      <c r="AG18" s="125" t="s">
        <v>99</v>
      </c>
      <c r="AH18" s="185" t="s">
        <v>99</v>
      </c>
      <c r="AI18" s="125" t="s">
        <v>99</v>
      </c>
      <c r="AJ18" s="125" t="s">
        <v>99</v>
      </c>
      <c r="AK18" s="185" t="s">
        <v>99</v>
      </c>
      <c r="AL18" s="125" t="s">
        <v>99</v>
      </c>
      <c r="AM18" s="125" t="s">
        <v>99</v>
      </c>
      <c r="AN18" s="185" t="s">
        <v>99</v>
      </c>
      <c r="AO18" s="248" t="s">
        <v>289</v>
      </c>
      <c r="AP18" s="127"/>
      <c r="AQ18" s="128"/>
      <c r="AR18" s="137" t="s">
        <v>99</v>
      </c>
      <c r="AS18" s="473" t="s">
        <v>388</v>
      </c>
    </row>
    <row r="19" spans="1:46" ht="15.75" customHeight="1">
      <c r="A19" s="12"/>
      <c r="B19" s="13"/>
      <c r="C19" s="14"/>
      <c r="D19" s="340"/>
      <c r="E19" s="340"/>
      <c r="F19" s="8"/>
      <c r="G19" s="388"/>
      <c r="H19" s="391"/>
      <c r="J19" s="96"/>
      <c r="L19" s="18"/>
      <c r="M19" s="19"/>
      <c r="N19" s="154"/>
      <c r="O19" s="155"/>
      <c r="P19" s="22"/>
      <c r="Q19" s="21"/>
      <c r="R19" s="23"/>
      <c r="S19" s="115" t="s">
        <v>37</v>
      </c>
      <c r="T19" s="353"/>
      <c r="U19" s="354"/>
      <c r="V19" s="118">
        <f>1/0.4</f>
        <v>2.5</v>
      </c>
      <c r="W19" s="119">
        <f>1/0.41</f>
        <v>2.4390243902439024</v>
      </c>
      <c r="X19" s="120" t="s">
        <v>99</v>
      </c>
      <c r="Y19" s="119" t="s">
        <v>99</v>
      </c>
      <c r="Z19" s="119" t="s">
        <v>99</v>
      </c>
      <c r="AA19" s="120" t="s">
        <v>99</v>
      </c>
      <c r="AB19" s="119" t="s">
        <v>99</v>
      </c>
      <c r="AC19" s="119" t="s">
        <v>99</v>
      </c>
      <c r="AD19" s="355" t="s">
        <v>99</v>
      </c>
      <c r="AE19" s="115" t="s">
        <v>85</v>
      </c>
      <c r="AF19" s="124">
        <v>0.71</v>
      </c>
      <c r="AG19" s="125" t="s">
        <v>99</v>
      </c>
      <c r="AH19" s="185" t="s">
        <v>99</v>
      </c>
      <c r="AI19" s="125" t="s">
        <v>99</v>
      </c>
      <c r="AJ19" s="125" t="s">
        <v>99</v>
      </c>
      <c r="AK19" s="185" t="s">
        <v>99</v>
      </c>
      <c r="AL19" s="125" t="s">
        <v>99</v>
      </c>
      <c r="AM19" s="125" t="s">
        <v>99</v>
      </c>
      <c r="AN19" s="185" t="s">
        <v>99</v>
      </c>
      <c r="AO19" s="248" t="s">
        <v>289</v>
      </c>
      <c r="AP19" s="127"/>
      <c r="AQ19" s="128"/>
      <c r="AR19" s="137" t="s">
        <v>99</v>
      </c>
      <c r="AS19" s="473" t="s">
        <v>388</v>
      </c>
    </row>
    <row r="20" spans="1:46" ht="15.75" customHeight="1">
      <c r="A20" s="12"/>
      <c r="B20" s="13"/>
      <c r="C20" s="14"/>
      <c r="D20" s="340"/>
      <c r="E20" s="340"/>
      <c r="F20" s="8"/>
      <c r="G20" s="388"/>
      <c r="H20" s="391"/>
      <c r="J20" s="96"/>
      <c r="L20" s="18"/>
      <c r="M20" s="19"/>
      <c r="N20" s="154"/>
      <c r="O20" s="155"/>
      <c r="P20" s="22"/>
      <c r="Q20" s="21"/>
      <c r="R20" s="23"/>
      <c r="S20" s="99" t="s">
        <v>2</v>
      </c>
      <c r="T20" s="18"/>
      <c r="U20" s="357"/>
      <c r="V20" s="118">
        <f>1/0.39</f>
        <v>2.5641025641025639</v>
      </c>
      <c r="W20" s="119">
        <f>1/0.4</f>
        <v>2.5</v>
      </c>
      <c r="X20" s="120" t="s">
        <v>99</v>
      </c>
      <c r="Y20" s="119" t="s">
        <v>99</v>
      </c>
      <c r="Z20" s="119" t="s">
        <v>99</v>
      </c>
      <c r="AA20" s="120" t="s">
        <v>99</v>
      </c>
      <c r="AB20" s="119" t="s">
        <v>99</v>
      </c>
      <c r="AC20" s="119" t="s">
        <v>99</v>
      </c>
      <c r="AD20" s="355" t="s">
        <v>99</v>
      </c>
      <c r="AE20" s="115" t="s">
        <v>90</v>
      </c>
      <c r="AF20" s="124">
        <v>1.34</v>
      </c>
      <c r="AG20" s="125" t="s">
        <v>99</v>
      </c>
      <c r="AH20" s="185" t="s">
        <v>99</v>
      </c>
      <c r="AI20" s="125" t="s">
        <v>99</v>
      </c>
      <c r="AJ20" s="125" t="s">
        <v>99</v>
      </c>
      <c r="AK20" s="185" t="s">
        <v>99</v>
      </c>
      <c r="AL20" s="125" t="s">
        <v>99</v>
      </c>
      <c r="AM20" s="125" t="s">
        <v>99</v>
      </c>
      <c r="AN20" s="185" t="s">
        <v>99</v>
      </c>
      <c r="AO20" s="248" t="s">
        <v>289</v>
      </c>
      <c r="AP20" s="127"/>
      <c r="AQ20" s="128"/>
      <c r="AR20" s="137" t="s">
        <v>99</v>
      </c>
      <c r="AS20" s="473" t="s">
        <v>389</v>
      </c>
    </row>
    <row r="21" spans="1:46" ht="15.75" customHeight="1">
      <c r="A21" s="38"/>
      <c r="B21" s="39"/>
      <c r="C21" s="40"/>
      <c r="D21" s="218"/>
      <c r="E21" s="218"/>
      <c r="F21" s="219"/>
      <c r="G21" s="385"/>
      <c r="H21" s="43"/>
      <c r="I21" s="44"/>
      <c r="J21" s="45"/>
      <c r="K21" s="44"/>
      <c r="L21" s="46"/>
      <c r="M21" s="47"/>
      <c r="N21" s="316"/>
      <c r="O21" s="317"/>
      <c r="P21" s="50"/>
      <c r="Q21" s="51"/>
      <c r="R21" s="52"/>
      <c r="S21" s="53" t="s">
        <v>13</v>
      </c>
      <c r="T21" s="46"/>
      <c r="U21" s="358"/>
      <c r="V21" s="151">
        <f>1/0.39</f>
        <v>2.5641025641025639</v>
      </c>
      <c r="W21" s="139">
        <f>1/0.4</f>
        <v>2.5</v>
      </c>
      <c r="X21" s="140" t="s">
        <v>99</v>
      </c>
      <c r="Y21" s="139" t="s">
        <v>99</v>
      </c>
      <c r="Z21" s="139" t="s">
        <v>99</v>
      </c>
      <c r="AA21" s="140" t="s">
        <v>99</v>
      </c>
      <c r="AB21" s="139" t="s">
        <v>99</v>
      </c>
      <c r="AC21" s="139" t="s">
        <v>99</v>
      </c>
      <c r="AD21" s="318" t="s">
        <v>99</v>
      </c>
      <c r="AE21" s="53" t="s">
        <v>85</v>
      </c>
      <c r="AF21" s="59">
        <v>1.45</v>
      </c>
      <c r="AG21" s="60" t="s">
        <v>99</v>
      </c>
      <c r="AH21" s="189" t="s">
        <v>99</v>
      </c>
      <c r="AI21" s="60" t="s">
        <v>99</v>
      </c>
      <c r="AJ21" s="60" t="s">
        <v>99</v>
      </c>
      <c r="AK21" s="189" t="s">
        <v>99</v>
      </c>
      <c r="AL21" s="60" t="s">
        <v>99</v>
      </c>
      <c r="AM21" s="60" t="s">
        <v>99</v>
      </c>
      <c r="AN21" s="189" t="s">
        <v>99</v>
      </c>
      <c r="AO21" s="245" t="s">
        <v>289</v>
      </c>
      <c r="AP21" s="62"/>
      <c r="AQ21" s="63"/>
      <c r="AR21" s="64" t="s">
        <v>99</v>
      </c>
      <c r="AS21" s="474" t="s">
        <v>389</v>
      </c>
    </row>
    <row r="22" spans="1:46" ht="15.75" customHeight="1">
      <c r="A22" s="38" t="s">
        <v>210</v>
      </c>
      <c r="B22" s="39"/>
      <c r="C22" s="40"/>
      <c r="D22" s="218"/>
      <c r="E22" s="218"/>
      <c r="F22" s="219"/>
      <c r="G22" s="385">
        <v>200</v>
      </c>
      <c r="H22" s="43" t="s">
        <v>28</v>
      </c>
      <c r="I22" s="44" t="s">
        <v>314</v>
      </c>
      <c r="J22" s="45" t="s">
        <v>28</v>
      </c>
      <c r="K22" s="44"/>
      <c r="L22" s="46" t="s">
        <v>194</v>
      </c>
      <c r="M22" s="47"/>
      <c r="N22" s="316"/>
      <c r="O22" s="317"/>
      <c r="P22" s="50"/>
      <c r="Q22" s="51"/>
      <c r="R22" s="52"/>
      <c r="S22" s="39" t="s">
        <v>99</v>
      </c>
      <c r="T22" s="54" t="s">
        <v>84</v>
      </c>
      <c r="U22" s="196" t="s">
        <v>29</v>
      </c>
      <c r="V22" s="55">
        <v>1.88</v>
      </c>
      <c r="W22" s="56" t="s">
        <v>99</v>
      </c>
      <c r="X22" s="51" t="s">
        <v>99</v>
      </c>
      <c r="Y22" s="57">
        <v>1.88</v>
      </c>
      <c r="Z22" s="56" t="s">
        <v>99</v>
      </c>
      <c r="AA22" s="51" t="s">
        <v>99</v>
      </c>
      <c r="AB22" s="56" t="s">
        <v>99</v>
      </c>
      <c r="AC22" s="56" t="s">
        <v>99</v>
      </c>
      <c r="AD22" s="359" t="s">
        <v>99</v>
      </c>
      <c r="AE22" s="39" t="s">
        <v>90</v>
      </c>
      <c r="AF22" s="146">
        <v>0.55000000000000004</v>
      </c>
      <c r="AG22" s="144" t="s">
        <v>99</v>
      </c>
      <c r="AH22" s="360" t="s">
        <v>99</v>
      </c>
      <c r="AI22" s="146">
        <v>0.57999999999999996</v>
      </c>
      <c r="AJ22" s="144" t="s">
        <v>99</v>
      </c>
      <c r="AK22" s="360" t="s">
        <v>99</v>
      </c>
      <c r="AL22" s="144" t="s">
        <v>99</v>
      </c>
      <c r="AM22" s="144" t="s">
        <v>99</v>
      </c>
      <c r="AN22" s="360" t="s">
        <v>99</v>
      </c>
      <c r="AO22" s="250" t="s">
        <v>289</v>
      </c>
      <c r="AP22" s="147">
        <v>11</v>
      </c>
      <c r="AQ22" s="44">
        <v>11</v>
      </c>
      <c r="AR22" s="220" t="s">
        <v>99</v>
      </c>
      <c r="AS22" s="469"/>
    </row>
    <row r="23" spans="1:46" ht="15.75" customHeight="1">
      <c r="A23" s="157" t="s">
        <v>211</v>
      </c>
      <c r="B23" s="158"/>
      <c r="C23" s="159"/>
      <c r="D23" s="224"/>
      <c r="E23" s="224"/>
      <c r="F23" s="225"/>
      <c r="G23" s="386">
        <v>200</v>
      </c>
      <c r="H23" s="162"/>
      <c r="I23" s="163"/>
      <c r="J23" s="164"/>
      <c r="K23" s="163"/>
      <c r="L23" s="165" t="s">
        <v>194</v>
      </c>
      <c r="M23" s="166"/>
      <c r="N23" s="197"/>
      <c r="O23" s="198"/>
      <c r="P23" s="169"/>
      <c r="Q23" s="170"/>
      <c r="R23" s="171"/>
      <c r="S23" s="172">
        <v>1</v>
      </c>
      <c r="T23" s="9" t="s">
        <v>83</v>
      </c>
      <c r="U23" s="173"/>
      <c r="V23" s="174">
        <f>1/0.58</f>
        <v>1.7241379310344829</v>
      </c>
      <c r="W23" s="175">
        <f>1/1.65</f>
        <v>0.60606060606060608</v>
      </c>
      <c r="X23" s="176">
        <f>1/2.85</f>
        <v>0.35087719298245612</v>
      </c>
      <c r="Y23" s="174">
        <f>1/0.58</f>
        <v>1.7241379310344829</v>
      </c>
      <c r="Z23" s="175">
        <f>1/1.63</f>
        <v>0.61349693251533743</v>
      </c>
      <c r="AA23" s="176">
        <f>1/2.8</f>
        <v>0.35714285714285715</v>
      </c>
      <c r="AB23" s="175" t="s">
        <v>99</v>
      </c>
      <c r="AC23" s="175" t="s">
        <v>99</v>
      </c>
      <c r="AD23" s="315" t="s">
        <v>99</v>
      </c>
      <c r="AE23" s="172"/>
      <c r="AF23" s="179">
        <v>0.33</v>
      </c>
      <c r="AG23" s="277">
        <v>0.22</v>
      </c>
      <c r="AH23" s="180" t="s">
        <v>99</v>
      </c>
      <c r="AI23" s="179">
        <v>0.315</v>
      </c>
      <c r="AJ23" s="277">
        <v>0.27</v>
      </c>
      <c r="AK23" s="180" t="s">
        <v>99</v>
      </c>
      <c r="AL23" s="277" t="s">
        <v>99</v>
      </c>
      <c r="AM23" s="277" t="s">
        <v>99</v>
      </c>
      <c r="AN23" s="180" t="s">
        <v>99</v>
      </c>
      <c r="AO23" s="252" t="s">
        <v>289</v>
      </c>
      <c r="AP23" s="181"/>
      <c r="AQ23" s="182"/>
      <c r="AR23" s="112" t="s">
        <v>99</v>
      </c>
      <c r="AS23" s="475"/>
    </row>
    <row r="24" spans="1:46" ht="15.75" customHeight="1">
      <c r="A24" s="12"/>
      <c r="B24" s="13"/>
      <c r="C24" s="14"/>
      <c r="D24" s="340"/>
      <c r="E24" s="340"/>
      <c r="F24" s="8"/>
      <c r="G24" s="388"/>
      <c r="H24" s="391"/>
      <c r="J24" s="96"/>
      <c r="L24" s="18"/>
      <c r="M24" s="19"/>
      <c r="N24" s="154"/>
      <c r="O24" s="155"/>
      <c r="P24" s="22"/>
      <c r="Q24" s="21"/>
      <c r="R24" s="23"/>
      <c r="S24" s="115">
        <v>2</v>
      </c>
      <c r="T24" s="148" t="s">
        <v>94</v>
      </c>
      <c r="U24" s="117"/>
      <c r="V24" s="118">
        <f>1/0.58</f>
        <v>1.7241379310344829</v>
      </c>
      <c r="W24" s="119">
        <f>1/1.53</f>
        <v>0.65359477124183007</v>
      </c>
      <c r="X24" s="120">
        <f>1/2.29</f>
        <v>0.4366812227074236</v>
      </c>
      <c r="Y24" s="119" t="s">
        <v>99</v>
      </c>
      <c r="Z24" s="119" t="s">
        <v>99</v>
      </c>
      <c r="AA24" s="120" t="s">
        <v>99</v>
      </c>
      <c r="AB24" s="119" t="s">
        <v>99</v>
      </c>
      <c r="AC24" s="119" t="s">
        <v>99</v>
      </c>
      <c r="AD24" s="355" t="s">
        <v>99</v>
      </c>
      <c r="AE24" s="115"/>
      <c r="AF24" s="124">
        <v>0.88</v>
      </c>
      <c r="AG24" s="125">
        <v>1.91</v>
      </c>
      <c r="AH24" s="185">
        <v>2.0699999999999998</v>
      </c>
      <c r="AI24" s="361" t="s">
        <v>99</v>
      </c>
      <c r="AJ24" s="125" t="s">
        <v>99</v>
      </c>
      <c r="AK24" s="185" t="s">
        <v>99</v>
      </c>
      <c r="AL24" s="125" t="s">
        <v>99</v>
      </c>
      <c r="AM24" s="125" t="s">
        <v>99</v>
      </c>
      <c r="AN24" s="185" t="s">
        <v>99</v>
      </c>
      <c r="AO24" s="248" t="s">
        <v>289</v>
      </c>
      <c r="AP24" s="127"/>
      <c r="AQ24" s="128"/>
      <c r="AR24" s="137" t="s">
        <v>99</v>
      </c>
      <c r="AS24" s="473"/>
    </row>
    <row r="25" spans="1:46" ht="15.75" customHeight="1">
      <c r="A25" s="38"/>
      <c r="B25" s="39"/>
      <c r="C25" s="40"/>
      <c r="D25" s="218"/>
      <c r="E25" s="218"/>
      <c r="F25" s="219"/>
      <c r="G25" s="385"/>
      <c r="H25" s="43"/>
      <c r="I25" s="44"/>
      <c r="J25" s="45"/>
      <c r="K25" s="44"/>
      <c r="L25" s="46"/>
      <c r="M25" s="47"/>
      <c r="N25" s="316"/>
      <c r="O25" s="317"/>
      <c r="P25" s="50"/>
      <c r="Q25" s="51"/>
      <c r="R25" s="52"/>
      <c r="S25" s="53">
        <v>3</v>
      </c>
      <c r="T25" s="149" t="s">
        <v>84</v>
      </c>
      <c r="U25" s="156"/>
      <c r="V25" s="151">
        <f>1/0.558</f>
        <v>1.7921146953405016</v>
      </c>
      <c r="W25" s="139">
        <f>1/1.53</f>
        <v>0.65359477124183007</v>
      </c>
      <c r="X25" s="140" t="s">
        <v>99</v>
      </c>
      <c r="Y25" s="139" t="s">
        <v>99</v>
      </c>
      <c r="Z25" s="139" t="s">
        <v>99</v>
      </c>
      <c r="AA25" s="140" t="s">
        <v>99</v>
      </c>
      <c r="AB25" s="139" t="s">
        <v>99</v>
      </c>
      <c r="AC25" s="139" t="s">
        <v>99</v>
      </c>
      <c r="AD25" s="318" t="s">
        <v>99</v>
      </c>
      <c r="AE25" s="53"/>
      <c r="AF25" s="59">
        <v>0.32500000000000001</v>
      </c>
      <c r="AG25" s="60">
        <v>0.255</v>
      </c>
      <c r="AH25" s="189" t="s">
        <v>99</v>
      </c>
      <c r="AI25" s="362" t="s">
        <v>99</v>
      </c>
      <c r="AJ25" s="60" t="s">
        <v>99</v>
      </c>
      <c r="AK25" s="189" t="s">
        <v>99</v>
      </c>
      <c r="AL25" s="60" t="s">
        <v>99</v>
      </c>
      <c r="AM25" s="60" t="s">
        <v>99</v>
      </c>
      <c r="AN25" s="189" t="s">
        <v>99</v>
      </c>
      <c r="AO25" s="245" t="s">
        <v>289</v>
      </c>
      <c r="AP25" s="62"/>
      <c r="AQ25" s="63"/>
      <c r="AR25" s="64" t="s">
        <v>99</v>
      </c>
      <c r="AS25" s="474"/>
    </row>
    <row r="26" spans="1:46" ht="15.75" customHeight="1">
      <c r="A26" s="157" t="s">
        <v>212</v>
      </c>
      <c r="B26" s="158"/>
      <c r="C26" s="159">
        <v>1987</v>
      </c>
      <c r="D26" s="224"/>
      <c r="E26" s="224"/>
      <c r="F26" s="225"/>
      <c r="G26" s="386">
        <v>200</v>
      </c>
      <c r="H26" s="162"/>
      <c r="I26" s="163"/>
      <c r="J26" s="164"/>
      <c r="K26" s="163"/>
      <c r="L26" s="165" t="s">
        <v>194</v>
      </c>
      <c r="M26" s="166"/>
      <c r="N26" s="197"/>
      <c r="O26" s="198"/>
      <c r="P26" s="169"/>
      <c r="Q26" s="170"/>
      <c r="R26" s="171"/>
      <c r="S26" s="172">
        <v>1</v>
      </c>
      <c r="T26" s="9" t="s">
        <v>83</v>
      </c>
      <c r="U26" s="173"/>
      <c r="V26" s="174">
        <f>1/0.72</f>
        <v>1.3888888888888888</v>
      </c>
      <c r="W26" s="175">
        <f>1/1.74</f>
        <v>0.57471264367816088</v>
      </c>
      <c r="X26" s="176" t="s">
        <v>99</v>
      </c>
      <c r="Y26" s="174" t="s">
        <v>99</v>
      </c>
      <c r="Z26" s="175" t="s">
        <v>99</v>
      </c>
      <c r="AA26" s="176" t="s">
        <v>99</v>
      </c>
      <c r="AB26" s="175" t="s">
        <v>99</v>
      </c>
      <c r="AC26" s="175" t="s">
        <v>99</v>
      </c>
      <c r="AD26" s="315" t="s">
        <v>99</v>
      </c>
      <c r="AE26" s="172"/>
      <c r="AF26" s="179">
        <v>0.54</v>
      </c>
      <c r="AG26" s="277">
        <v>2.11</v>
      </c>
      <c r="AH26" s="180" t="s">
        <v>99</v>
      </c>
      <c r="AI26" s="363" t="s">
        <v>99</v>
      </c>
      <c r="AJ26" s="277" t="s">
        <v>99</v>
      </c>
      <c r="AK26" s="180" t="s">
        <v>99</v>
      </c>
      <c r="AL26" s="277" t="s">
        <v>99</v>
      </c>
      <c r="AM26" s="277" t="s">
        <v>99</v>
      </c>
      <c r="AN26" s="180" t="s">
        <v>99</v>
      </c>
      <c r="AO26" s="252" t="s">
        <v>289</v>
      </c>
      <c r="AP26" s="181"/>
      <c r="AQ26" s="182"/>
      <c r="AR26" s="112" t="s">
        <v>99</v>
      </c>
      <c r="AS26" s="475"/>
    </row>
    <row r="27" spans="1:46" ht="15.75" customHeight="1">
      <c r="A27" s="38"/>
      <c r="B27" s="39"/>
      <c r="C27" s="40"/>
      <c r="D27" s="218"/>
      <c r="E27" s="218"/>
      <c r="F27" s="219"/>
      <c r="G27" s="385"/>
      <c r="H27" s="43"/>
      <c r="I27" s="44"/>
      <c r="J27" s="45"/>
      <c r="K27" s="44"/>
      <c r="L27" s="46"/>
      <c r="M27" s="47"/>
      <c r="N27" s="316"/>
      <c r="O27" s="317"/>
      <c r="P27" s="50"/>
      <c r="Q27" s="51"/>
      <c r="R27" s="52"/>
      <c r="S27" s="39">
        <v>2</v>
      </c>
      <c r="T27" s="149" t="s">
        <v>84</v>
      </c>
      <c r="U27" s="196"/>
      <c r="V27" s="55" t="s">
        <v>99</v>
      </c>
      <c r="W27" s="56" t="s">
        <v>99</v>
      </c>
      <c r="X27" s="51" t="s">
        <v>99</v>
      </c>
      <c r="Y27" s="55" t="s">
        <v>99</v>
      </c>
      <c r="Z27" s="56" t="s">
        <v>99</v>
      </c>
      <c r="AA27" s="51" t="s">
        <v>99</v>
      </c>
      <c r="AB27" s="56" t="s">
        <v>99</v>
      </c>
      <c r="AC27" s="56" t="s">
        <v>99</v>
      </c>
      <c r="AD27" s="359" t="s">
        <v>99</v>
      </c>
      <c r="AE27" s="53" t="s">
        <v>90</v>
      </c>
      <c r="AF27" s="146">
        <v>0.46</v>
      </c>
      <c r="AG27" s="144">
        <v>0.54</v>
      </c>
      <c r="AH27" s="360" t="s">
        <v>99</v>
      </c>
      <c r="AI27" s="364" t="s">
        <v>99</v>
      </c>
      <c r="AJ27" s="144" t="s">
        <v>99</v>
      </c>
      <c r="AK27" s="360" t="s">
        <v>99</v>
      </c>
      <c r="AL27" s="144" t="s">
        <v>99</v>
      </c>
      <c r="AM27" s="144" t="s">
        <v>99</v>
      </c>
      <c r="AN27" s="360" t="s">
        <v>99</v>
      </c>
      <c r="AO27" s="250" t="s">
        <v>289</v>
      </c>
      <c r="AP27" s="147"/>
      <c r="AQ27" s="44"/>
      <c r="AR27" s="220" t="s">
        <v>99</v>
      </c>
      <c r="AS27" s="469"/>
    </row>
    <row r="28" spans="1:46" ht="15.75" customHeight="1">
      <c r="A28" s="38" t="s">
        <v>213</v>
      </c>
      <c r="B28" s="39"/>
      <c r="C28" s="40"/>
      <c r="D28" s="218" t="s">
        <v>12</v>
      </c>
      <c r="E28" s="218" t="s">
        <v>12</v>
      </c>
      <c r="F28" s="219" t="s">
        <v>12</v>
      </c>
      <c r="G28" s="385">
        <v>130.9</v>
      </c>
      <c r="H28" s="43"/>
      <c r="I28" s="44"/>
      <c r="J28" s="45"/>
      <c r="K28" s="44"/>
      <c r="L28" s="46" t="s">
        <v>193</v>
      </c>
      <c r="M28" s="47" t="s">
        <v>274</v>
      </c>
      <c r="N28" s="316"/>
      <c r="O28" s="49">
        <v>42</v>
      </c>
      <c r="P28" s="50"/>
      <c r="Q28" s="51"/>
      <c r="R28" s="52"/>
      <c r="S28" s="39" t="s">
        <v>12</v>
      </c>
      <c r="T28" s="54" t="s">
        <v>85</v>
      </c>
      <c r="U28" s="196"/>
      <c r="V28" s="55">
        <v>1.6</v>
      </c>
      <c r="W28" s="56">
        <v>0.46</v>
      </c>
      <c r="X28" s="51">
        <v>0.23</v>
      </c>
      <c r="Y28" s="57" t="s">
        <v>12</v>
      </c>
      <c r="Z28" s="56" t="s">
        <v>12</v>
      </c>
      <c r="AA28" s="51" t="s">
        <v>12</v>
      </c>
      <c r="AB28" s="57" t="s">
        <v>12</v>
      </c>
      <c r="AC28" s="56" t="s">
        <v>12</v>
      </c>
      <c r="AD28" s="58" t="s">
        <v>12</v>
      </c>
      <c r="AE28" s="39"/>
      <c r="AF28" s="146">
        <v>0.55000000000000004</v>
      </c>
      <c r="AG28" s="144" t="s">
        <v>12</v>
      </c>
      <c r="AH28" s="145" t="s">
        <v>12</v>
      </c>
      <c r="AI28" s="146" t="s">
        <v>12</v>
      </c>
      <c r="AJ28" s="144" t="s">
        <v>12</v>
      </c>
      <c r="AK28" s="145" t="s">
        <v>12</v>
      </c>
      <c r="AL28" s="146" t="s">
        <v>12</v>
      </c>
      <c r="AM28" s="144" t="s">
        <v>12</v>
      </c>
      <c r="AN28" s="145" t="s">
        <v>12</v>
      </c>
      <c r="AO28" s="250"/>
      <c r="AP28" s="147"/>
      <c r="AQ28" s="44"/>
      <c r="AR28" s="220"/>
      <c r="AS28" s="469"/>
    </row>
    <row r="29" spans="1:46" ht="15.75" customHeight="1">
      <c r="A29" s="67" t="s">
        <v>214</v>
      </c>
      <c r="B29" s="68"/>
      <c r="C29" s="69"/>
      <c r="D29" s="218" t="s">
        <v>12</v>
      </c>
      <c r="E29" s="218" t="s">
        <v>12</v>
      </c>
      <c r="F29" s="219" t="s">
        <v>12</v>
      </c>
      <c r="G29" s="387">
        <v>130</v>
      </c>
      <c r="H29" s="72"/>
      <c r="I29" s="73"/>
      <c r="J29" s="74"/>
      <c r="K29" s="73"/>
      <c r="L29" s="75" t="s">
        <v>193</v>
      </c>
      <c r="M29" s="76"/>
      <c r="N29" s="152"/>
      <c r="O29" s="95"/>
      <c r="P29" s="79"/>
      <c r="Q29" s="80"/>
      <c r="R29" s="81"/>
      <c r="S29" s="68" t="s">
        <v>12</v>
      </c>
      <c r="T29" s="82" t="s">
        <v>85</v>
      </c>
      <c r="U29" s="83"/>
      <c r="V29" s="84">
        <v>1.27</v>
      </c>
      <c r="W29" s="85" t="s">
        <v>12</v>
      </c>
      <c r="X29" s="80" t="s">
        <v>12</v>
      </c>
      <c r="Y29" s="86" t="s">
        <v>12</v>
      </c>
      <c r="Z29" s="85" t="s">
        <v>12</v>
      </c>
      <c r="AA29" s="80" t="s">
        <v>12</v>
      </c>
      <c r="AB29" s="86" t="s">
        <v>12</v>
      </c>
      <c r="AC29" s="85" t="s">
        <v>12</v>
      </c>
      <c r="AD29" s="87" t="s">
        <v>12</v>
      </c>
      <c r="AE29" s="68"/>
      <c r="AF29" s="88">
        <v>0.2</v>
      </c>
      <c r="AG29" s="89" t="s">
        <v>12</v>
      </c>
      <c r="AH29" s="90" t="s">
        <v>12</v>
      </c>
      <c r="AI29" s="88" t="s">
        <v>12</v>
      </c>
      <c r="AJ29" s="89" t="s">
        <v>12</v>
      </c>
      <c r="AK29" s="90" t="s">
        <v>12</v>
      </c>
      <c r="AL29" s="88" t="s">
        <v>12</v>
      </c>
      <c r="AM29" s="89" t="s">
        <v>12</v>
      </c>
      <c r="AN29" s="90" t="s">
        <v>12</v>
      </c>
      <c r="AO29" s="246"/>
      <c r="AP29" s="91"/>
      <c r="AQ29" s="73"/>
      <c r="AR29" s="92"/>
      <c r="AS29" s="470"/>
    </row>
    <row r="30" spans="1:46" ht="15.75" customHeight="1">
      <c r="A30" s="67" t="s">
        <v>215</v>
      </c>
      <c r="B30" s="68"/>
      <c r="C30" s="69"/>
      <c r="D30" s="218" t="s">
        <v>12</v>
      </c>
      <c r="E30" s="218" t="s">
        <v>12</v>
      </c>
      <c r="F30" s="219" t="s">
        <v>12</v>
      </c>
      <c r="G30" s="387">
        <v>120</v>
      </c>
      <c r="H30" s="72"/>
      <c r="I30" s="73"/>
      <c r="J30" s="74"/>
      <c r="K30" s="73"/>
      <c r="L30" s="75" t="s">
        <v>193</v>
      </c>
      <c r="M30" s="76"/>
      <c r="N30" s="152"/>
      <c r="O30" s="95"/>
      <c r="P30" s="79"/>
      <c r="Q30" s="80"/>
      <c r="R30" s="81"/>
      <c r="S30" s="68" t="s">
        <v>12</v>
      </c>
      <c r="T30" s="82" t="s">
        <v>85</v>
      </c>
      <c r="U30" s="83"/>
      <c r="V30" s="84">
        <v>1.32</v>
      </c>
      <c r="W30" s="85">
        <v>0.43</v>
      </c>
      <c r="X30" s="80">
        <v>0.23</v>
      </c>
      <c r="Y30" s="86">
        <v>0.14000000000000001</v>
      </c>
      <c r="Z30" s="85" t="s">
        <v>12</v>
      </c>
      <c r="AA30" s="80" t="s">
        <v>12</v>
      </c>
      <c r="AB30" s="86" t="s">
        <v>12</v>
      </c>
      <c r="AC30" s="85" t="s">
        <v>12</v>
      </c>
      <c r="AD30" s="87" t="s">
        <v>12</v>
      </c>
      <c r="AE30" s="68"/>
      <c r="AF30" s="88">
        <v>0.2</v>
      </c>
      <c r="AG30" s="89" t="s">
        <v>12</v>
      </c>
      <c r="AH30" s="90" t="s">
        <v>12</v>
      </c>
      <c r="AI30" s="88" t="s">
        <v>12</v>
      </c>
      <c r="AJ30" s="89" t="s">
        <v>12</v>
      </c>
      <c r="AK30" s="90" t="s">
        <v>12</v>
      </c>
      <c r="AL30" s="88" t="s">
        <v>12</v>
      </c>
      <c r="AM30" s="89" t="s">
        <v>12</v>
      </c>
      <c r="AN30" s="90" t="s">
        <v>12</v>
      </c>
      <c r="AO30" s="246"/>
      <c r="AP30" s="91"/>
      <c r="AQ30" s="73"/>
      <c r="AR30" s="92"/>
      <c r="AS30" s="470"/>
    </row>
    <row r="31" spans="1:46" ht="15.75" customHeight="1">
      <c r="A31" s="157" t="s">
        <v>216</v>
      </c>
      <c r="B31" s="158"/>
      <c r="C31" s="159"/>
      <c r="D31" s="223" t="s">
        <v>12</v>
      </c>
      <c r="E31" s="224" t="s">
        <v>12</v>
      </c>
      <c r="F31" s="225" t="s">
        <v>12</v>
      </c>
      <c r="G31" s="386">
        <v>100</v>
      </c>
      <c r="H31" s="162"/>
      <c r="I31" s="163"/>
      <c r="J31" s="164"/>
      <c r="K31" s="163"/>
      <c r="L31" s="165" t="s">
        <v>193</v>
      </c>
      <c r="M31" s="166"/>
      <c r="N31" s="197"/>
      <c r="O31" s="198"/>
      <c r="P31" s="169"/>
      <c r="Q31" s="170"/>
      <c r="R31" s="171"/>
      <c r="S31" s="158" t="s">
        <v>12</v>
      </c>
      <c r="T31" s="199" t="s">
        <v>85</v>
      </c>
      <c r="U31" s="200"/>
      <c r="V31" s="201">
        <v>0.84</v>
      </c>
      <c r="W31" s="202">
        <v>0.3</v>
      </c>
      <c r="X31" s="170">
        <v>0.2</v>
      </c>
      <c r="Y31" s="203" t="s">
        <v>12</v>
      </c>
      <c r="Z31" s="202" t="s">
        <v>12</v>
      </c>
      <c r="AA31" s="170" t="s">
        <v>12</v>
      </c>
      <c r="AB31" s="203" t="s">
        <v>12</v>
      </c>
      <c r="AC31" s="202" t="s">
        <v>12</v>
      </c>
      <c r="AD31" s="204" t="s">
        <v>12</v>
      </c>
      <c r="AE31" s="158"/>
      <c r="AF31" s="205">
        <v>0.28000000000000003</v>
      </c>
      <c r="AG31" s="206" t="s">
        <v>12</v>
      </c>
      <c r="AH31" s="207" t="s">
        <v>12</v>
      </c>
      <c r="AI31" s="205" t="s">
        <v>12</v>
      </c>
      <c r="AJ31" s="206" t="s">
        <v>12</v>
      </c>
      <c r="AK31" s="207" t="s">
        <v>12</v>
      </c>
      <c r="AL31" s="205" t="s">
        <v>12</v>
      </c>
      <c r="AM31" s="206" t="s">
        <v>12</v>
      </c>
      <c r="AN31" s="207" t="s">
        <v>12</v>
      </c>
      <c r="AO31" s="253"/>
      <c r="AP31" s="208"/>
      <c r="AQ31" s="163"/>
      <c r="AR31" s="209"/>
      <c r="AS31" s="476"/>
    </row>
    <row r="32" spans="1:46" s="7" customFormat="1" ht="15.75" customHeight="1">
      <c r="A32" s="210"/>
      <c r="B32" s="211"/>
      <c r="C32" s="211"/>
      <c r="D32" s="212"/>
      <c r="E32" s="212"/>
      <c r="F32" s="212"/>
      <c r="G32" s="213"/>
      <c r="H32" s="558"/>
      <c r="I32" s="558"/>
      <c r="J32" s="558"/>
      <c r="K32" s="558"/>
      <c r="L32" s="214"/>
      <c r="M32" s="559"/>
      <c r="N32" s="559"/>
      <c r="O32" s="559"/>
      <c r="P32" s="215"/>
      <c r="Q32" s="215"/>
      <c r="R32" s="215"/>
      <c r="S32" s="213"/>
      <c r="T32" s="211"/>
      <c r="U32" s="211"/>
      <c r="V32" s="560"/>
      <c r="W32" s="560"/>
      <c r="X32" s="560"/>
      <c r="Y32" s="560"/>
      <c r="Z32" s="560"/>
      <c r="AA32" s="560"/>
      <c r="AB32" s="560"/>
      <c r="AC32" s="560"/>
      <c r="AD32" s="560"/>
      <c r="AE32" s="211"/>
      <c r="AF32" s="216"/>
      <c r="AG32" s="215"/>
      <c r="AH32" s="215"/>
      <c r="AI32" s="215"/>
      <c r="AJ32" s="215"/>
      <c r="AK32" s="215"/>
      <c r="AL32" s="215"/>
      <c r="AM32" s="215"/>
      <c r="AN32" s="215"/>
      <c r="AO32" s="373"/>
      <c r="AP32" s="215"/>
      <c r="AQ32" s="215"/>
      <c r="AR32" s="215"/>
      <c r="AS32" s="217"/>
      <c r="AT32" s="377"/>
    </row>
    <row r="33" spans="1:45" ht="15.75" customHeight="1">
      <c r="A33" s="12" t="s">
        <v>217</v>
      </c>
      <c r="B33" s="13" t="s">
        <v>241</v>
      </c>
      <c r="C33" s="14">
        <v>1977</v>
      </c>
      <c r="D33" s="365" t="s">
        <v>12</v>
      </c>
      <c r="E33" s="340" t="s">
        <v>12</v>
      </c>
      <c r="F33" s="8" t="s">
        <v>12</v>
      </c>
      <c r="G33" s="388">
        <v>200</v>
      </c>
      <c r="H33" s="391">
        <v>25</v>
      </c>
      <c r="I33" s="16" t="s">
        <v>16</v>
      </c>
      <c r="J33" s="96"/>
      <c r="L33" s="18" t="s">
        <v>193</v>
      </c>
      <c r="M33" s="19" t="s">
        <v>274</v>
      </c>
      <c r="N33" s="154"/>
      <c r="O33" s="98">
        <v>23</v>
      </c>
      <c r="P33" s="22">
        <v>3.55</v>
      </c>
      <c r="Q33" s="21"/>
      <c r="R33" s="23">
        <v>2</v>
      </c>
      <c r="S33" s="99">
        <v>1</v>
      </c>
      <c r="T33" s="100" t="s">
        <v>87</v>
      </c>
      <c r="U33" s="101" t="s">
        <v>22</v>
      </c>
      <c r="V33" s="102">
        <v>2.56</v>
      </c>
      <c r="W33" s="103" t="s">
        <v>12</v>
      </c>
      <c r="X33" s="104" t="s">
        <v>12</v>
      </c>
      <c r="Y33" s="105" t="s">
        <v>12</v>
      </c>
      <c r="Z33" s="103" t="s">
        <v>12</v>
      </c>
      <c r="AA33" s="104" t="s">
        <v>12</v>
      </c>
      <c r="AB33" s="105" t="s">
        <v>12</v>
      </c>
      <c r="AC33" s="103" t="s">
        <v>12</v>
      </c>
      <c r="AD33" s="106" t="s">
        <v>12</v>
      </c>
      <c r="AE33" s="99" t="s">
        <v>91</v>
      </c>
      <c r="AF33" s="107">
        <v>0.82</v>
      </c>
      <c r="AG33" s="108" t="s">
        <v>12</v>
      </c>
      <c r="AH33" s="109" t="s">
        <v>12</v>
      </c>
      <c r="AI33" s="107" t="s">
        <v>12</v>
      </c>
      <c r="AJ33" s="108" t="s">
        <v>12</v>
      </c>
      <c r="AK33" s="109" t="s">
        <v>12</v>
      </c>
      <c r="AL33" s="107" t="s">
        <v>12</v>
      </c>
      <c r="AM33" s="108" t="s">
        <v>12</v>
      </c>
      <c r="AN33" s="109" t="s">
        <v>12</v>
      </c>
      <c r="AO33" s="247" t="s">
        <v>291</v>
      </c>
      <c r="AP33" s="110">
        <v>10.6</v>
      </c>
      <c r="AQ33" s="111"/>
      <c r="AR33" s="129"/>
      <c r="AS33" s="472"/>
    </row>
    <row r="34" spans="1:45" ht="15.75" customHeight="1">
      <c r="A34" s="38"/>
      <c r="B34" s="39"/>
      <c r="C34" s="40"/>
      <c r="D34" s="41"/>
      <c r="E34" s="42"/>
      <c r="F34" s="41"/>
      <c r="G34" s="385"/>
      <c r="H34" s="43"/>
      <c r="I34" s="44"/>
      <c r="J34" s="45"/>
      <c r="K34" s="44"/>
      <c r="L34" s="46"/>
      <c r="M34" s="47"/>
      <c r="N34" s="48"/>
      <c r="O34" s="49"/>
      <c r="P34" s="50"/>
      <c r="Q34" s="51"/>
      <c r="R34" s="52"/>
      <c r="S34" s="53">
        <v>2</v>
      </c>
      <c r="T34" s="149" t="s">
        <v>85</v>
      </c>
      <c r="U34" s="156"/>
      <c r="V34" s="151" t="s">
        <v>12</v>
      </c>
      <c r="W34" s="139">
        <v>0.60599999999999998</v>
      </c>
      <c r="X34" s="140">
        <v>0.27800000000000002</v>
      </c>
      <c r="Y34" s="141" t="s">
        <v>12</v>
      </c>
      <c r="Z34" s="139" t="s">
        <v>12</v>
      </c>
      <c r="AA34" s="140" t="s">
        <v>12</v>
      </c>
      <c r="AB34" s="141" t="s">
        <v>12</v>
      </c>
      <c r="AC34" s="139" t="s">
        <v>12</v>
      </c>
      <c r="AD34" s="142" t="s">
        <v>12</v>
      </c>
      <c r="AE34" s="53" t="s">
        <v>378</v>
      </c>
      <c r="AF34" s="59" t="s">
        <v>12</v>
      </c>
      <c r="AG34" s="60">
        <v>1.33</v>
      </c>
      <c r="AH34" s="61">
        <v>1.55</v>
      </c>
      <c r="AI34" s="59" t="s">
        <v>12</v>
      </c>
      <c r="AJ34" s="60" t="s">
        <v>12</v>
      </c>
      <c r="AK34" s="61" t="s">
        <v>12</v>
      </c>
      <c r="AL34" s="59" t="s">
        <v>12</v>
      </c>
      <c r="AM34" s="60" t="s">
        <v>12</v>
      </c>
      <c r="AN34" s="61" t="s">
        <v>12</v>
      </c>
      <c r="AO34" s="245" t="s">
        <v>291</v>
      </c>
      <c r="AP34" s="62"/>
      <c r="AQ34" s="63">
        <v>2.7</v>
      </c>
      <c r="AR34" s="64">
        <v>0.3</v>
      </c>
      <c r="AS34" s="474"/>
    </row>
    <row r="35" spans="1:45" ht="15.75" customHeight="1">
      <c r="A35" s="67" t="s">
        <v>218</v>
      </c>
      <c r="B35" s="68"/>
      <c r="C35" s="69"/>
      <c r="D35" s="218" t="s">
        <v>12</v>
      </c>
      <c r="E35" s="218" t="s">
        <v>12</v>
      </c>
      <c r="F35" s="219" t="s">
        <v>12</v>
      </c>
      <c r="G35" s="387">
        <v>200</v>
      </c>
      <c r="H35" s="72"/>
      <c r="I35" s="73"/>
      <c r="J35" s="74"/>
      <c r="K35" s="82"/>
      <c r="L35" s="75" t="s">
        <v>193</v>
      </c>
      <c r="M35" s="76" t="s">
        <v>273</v>
      </c>
      <c r="N35" s="77">
        <v>8</v>
      </c>
      <c r="O35" s="80"/>
      <c r="P35" s="79"/>
      <c r="Q35" s="80"/>
      <c r="R35" s="81"/>
      <c r="S35" s="68" t="s">
        <v>12</v>
      </c>
      <c r="T35" s="82" t="s">
        <v>85</v>
      </c>
      <c r="U35" s="374" t="s">
        <v>248</v>
      </c>
      <c r="V35" s="84">
        <v>2.88</v>
      </c>
      <c r="W35" s="85">
        <v>0.73</v>
      </c>
      <c r="X35" s="80">
        <v>0.3</v>
      </c>
      <c r="Y35" s="86" t="s">
        <v>12</v>
      </c>
      <c r="Z35" s="85" t="s">
        <v>12</v>
      </c>
      <c r="AA35" s="80" t="s">
        <v>12</v>
      </c>
      <c r="AB35" s="86" t="s">
        <v>12</v>
      </c>
      <c r="AC35" s="85" t="s">
        <v>12</v>
      </c>
      <c r="AD35" s="87" t="s">
        <v>12</v>
      </c>
      <c r="AE35" s="68"/>
      <c r="AF35" s="88">
        <v>0.6</v>
      </c>
      <c r="AG35" s="89">
        <v>1.3</v>
      </c>
      <c r="AH35" s="90">
        <v>0.95</v>
      </c>
      <c r="AI35" s="88" t="s">
        <v>12</v>
      </c>
      <c r="AJ35" s="89" t="s">
        <v>12</v>
      </c>
      <c r="AK35" s="90" t="s">
        <v>12</v>
      </c>
      <c r="AL35" s="88" t="s">
        <v>12</v>
      </c>
      <c r="AM35" s="89" t="s">
        <v>12</v>
      </c>
      <c r="AN35" s="90" t="s">
        <v>12</v>
      </c>
      <c r="AO35" s="246"/>
      <c r="AP35" s="91"/>
      <c r="AQ35" s="73"/>
      <c r="AR35" s="92"/>
      <c r="AS35" s="470"/>
    </row>
    <row r="36" spans="1:45" ht="15.75" customHeight="1">
      <c r="A36" s="67" t="s">
        <v>219</v>
      </c>
      <c r="B36" s="68"/>
      <c r="C36" s="69"/>
      <c r="D36" s="332"/>
      <c r="E36" s="332"/>
      <c r="F36" s="333"/>
      <c r="G36" s="385">
        <v>200</v>
      </c>
      <c r="H36" s="366" t="s">
        <v>32</v>
      </c>
      <c r="I36" s="44" t="s">
        <v>314</v>
      </c>
      <c r="J36" s="367" t="s">
        <v>33</v>
      </c>
      <c r="K36" s="44" t="s">
        <v>270</v>
      </c>
      <c r="L36" s="75" t="s">
        <v>194</v>
      </c>
      <c r="M36" s="76" t="s">
        <v>274</v>
      </c>
      <c r="N36" s="152"/>
      <c r="O36" s="95">
        <v>28</v>
      </c>
      <c r="P36" s="79">
        <f>1/0.423</f>
        <v>2.3640661938534278</v>
      </c>
      <c r="Q36" s="80">
        <f>1/0.454</f>
        <v>2.2026431718061672</v>
      </c>
      <c r="R36" s="81"/>
      <c r="S36" s="68" t="s">
        <v>99</v>
      </c>
      <c r="T36" s="82" t="s">
        <v>83</v>
      </c>
      <c r="U36" s="83"/>
      <c r="V36" s="84">
        <f>1/0.459</f>
        <v>2.1786492374727668</v>
      </c>
      <c r="W36" s="85">
        <f>1/1.698</f>
        <v>0.58892815076560656</v>
      </c>
      <c r="X36" s="140">
        <f>1/3.316</f>
        <v>0.30156815440289508</v>
      </c>
      <c r="Y36" s="84">
        <f>1/0.505</f>
        <v>1.9801980198019802</v>
      </c>
      <c r="Z36" s="85">
        <f>1/1.858</f>
        <v>0.53821313240043056</v>
      </c>
      <c r="AA36" s="140">
        <f>1/3.234</f>
        <v>0.30921459492888065</v>
      </c>
      <c r="AB36" s="85" t="s">
        <v>99</v>
      </c>
      <c r="AC36" s="85" t="s">
        <v>99</v>
      </c>
      <c r="AD36" s="368" t="s">
        <v>99</v>
      </c>
      <c r="AE36" s="68"/>
      <c r="AF36" s="88">
        <v>0.49</v>
      </c>
      <c r="AG36" s="60">
        <v>0.75</v>
      </c>
      <c r="AH36" s="180">
        <v>2.13</v>
      </c>
      <c r="AI36" s="59">
        <v>0.47</v>
      </c>
      <c r="AJ36" s="60">
        <v>0.49</v>
      </c>
      <c r="AK36" s="180">
        <v>1.35</v>
      </c>
      <c r="AL36" s="89" t="s">
        <v>99</v>
      </c>
      <c r="AM36" s="89" t="s">
        <v>99</v>
      </c>
      <c r="AN36" s="369" t="s">
        <v>99</v>
      </c>
      <c r="AO36" s="246" t="s">
        <v>289</v>
      </c>
      <c r="AP36" s="91"/>
      <c r="AQ36" s="73"/>
      <c r="AR36" s="92" t="s">
        <v>99</v>
      </c>
      <c r="AS36" s="474"/>
    </row>
    <row r="37" spans="1:45" ht="15.75" customHeight="1">
      <c r="A37" s="67" t="s">
        <v>220</v>
      </c>
      <c r="B37" s="68"/>
      <c r="C37" s="69">
        <v>1979</v>
      </c>
      <c r="D37" s="218" t="s">
        <v>12</v>
      </c>
      <c r="E37" s="218" t="s">
        <v>12</v>
      </c>
      <c r="F37" s="219" t="s">
        <v>12</v>
      </c>
      <c r="G37" s="387">
        <v>198</v>
      </c>
      <c r="H37" s="72">
        <v>27</v>
      </c>
      <c r="I37" s="73" t="s">
        <v>16</v>
      </c>
      <c r="J37" s="74"/>
      <c r="K37" s="73"/>
      <c r="L37" s="75" t="s">
        <v>193</v>
      </c>
      <c r="M37" s="76" t="s">
        <v>273</v>
      </c>
      <c r="N37" s="77">
        <v>8</v>
      </c>
      <c r="O37" s="80"/>
      <c r="P37" s="79">
        <v>2.56</v>
      </c>
      <c r="Q37" s="80"/>
      <c r="R37" s="81">
        <v>2</v>
      </c>
      <c r="S37" s="68" t="s">
        <v>12</v>
      </c>
      <c r="T37" s="82" t="s">
        <v>379</v>
      </c>
      <c r="U37" s="83" t="s">
        <v>27</v>
      </c>
      <c r="V37" s="84">
        <v>2.08</v>
      </c>
      <c r="W37" s="85">
        <v>0.48</v>
      </c>
      <c r="X37" s="80">
        <v>0.21</v>
      </c>
      <c r="Y37" s="86" t="s">
        <v>12</v>
      </c>
      <c r="Z37" s="85" t="s">
        <v>12</v>
      </c>
      <c r="AA37" s="80" t="s">
        <v>12</v>
      </c>
      <c r="AB37" s="86" t="s">
        <v>12</v>
      </c>
      <c r="AC37" s="85" t="s">
        <v>12</v>
      </c>
      <c r="AD37" s="87" t="s">
        <v>12</v>
      </c>
      <c r="AE37" s="68" t="s">
        <v>377</v>
      </c>
      <c r="AF37" s="88">
        <v>0.5</v>
      </c>
      <c r="AG37" s="89">
        <v>1</v>
      </c>
      <c r="AH37" s="90">
        <v>5.2</v>
      </c>
      <c r="AI37" s="88" t="s">
        <v>12</v>
      </c>
      <c r="AJ37" s="89" t="s">
        <v>12</v>
      </c>
      <c r="AK37" s="90" t="s">
        <v>12</v>
      </c>
      <c r="AL37" s="88" t="s">
        <v>12</v>
      </c>
      <c r="AM37" s="89" t="s">
        <v>12</v>
      </c>
      <c r="AN37" s="90" t="s">
        <v>12</v>
      </c>
      <c r="AO37" s="246"/>
      <c r="AP37" s="91"/>
      <c r="AQ37" s="73"/>
      <c r="AR37" s="92"/>
      <c r="AS37" s="470"/>
    </row>
    <row r="38" spans="1:45" ht="15.75" customHeight="1">
      <c r="A38" s="67" t="s">
        <v>221</v>
      </c>
      <c r="B38" s="68" t="s">
        <v>242</v>
      </c>
      <c r="C38" s="69"/>
      <c r="D38" s="218" t="s">
        <v>12</v>
      </c>
      <c r="E38" s="218" t="s">
        <v>12</v>
      </c>
      <c r="F38" s="219" t="s">
        <v>12</v>
      </c>
      <c r="G38" s="387">
        <v>180</v>
      </c>
      <c r="H38" s="72">
        <v>28</v>
      </c>
      <c r="I38" s="73" t="s">
        <v>16</v>
      </c>
      <c r="J38" s="74"/>
      <c r="K38" s="73"/>
      <c r="L38" s="75" t="s">
        <v>193</v>
      </c>
      <c r="M38" s="76" t="s">
        <v>274</v>
      </c>
      <c r="N38" s="152"/>
      <c r="O38" s="95"/>
      <c r="P38" s="79"/>
      <c r="Q38" s="80"/>
      <c r="R38" s="81"/>
      <c r="S38" s="68" t="s">
        <v>12</v>
      </c>
      <c r="T38" s="82" t="s">
        <v>82</v>
      </c>
      <c r="U38" s="83"/>
      <c r="V38" s="84">
        <v>1.89</v>
      </c>
      <c r="W38" s="85">
        <v>0.4</v>
      </c>
      <c r="X38" s="80">
        <v>0.26</v>
      </c>
      <c r="Y38" s="86">
        <v>1.89</v>
      </c>
      <c r="Z38" s="85">
        <v>0.4</v>
      </c>
      <c r="AA38" s="80">
        <v>0.26</v>
      </c>
      <c r="AB38" s="86" t="s">
        <v>12</v>
      </c>
      <c r="AC38" s="85" t="s">
        <v>12</v>
      </c>
      <c r="AD38" s="87" t="s">
        <v>12</v>
      </c>
      <c r="AE38" s="68" t="s">
        <v>91</v>
      </c>
      <c r="AF38" s="88">
        <v>0.8</v>
      </c>
      <c r="AG38" s="89">
        <v>0.8</v>
      </c>
      <c r="AH38" s="90">
        <v>2.1</v>
      </c>
      <c r="AI38" s="88">
        <v>0.8</v>
      </c>
      <c r="AJ38" s="89">
        <v>0.8</v>
      </c>
      <c r="AK38" s="90">
        <v>2.6</v>
      </c>
      <c r="AL38" s="88" t="s">
        <v>12</v>
      </c>
      <c r="AM38" s="89" t="s">
        <v>12</v>
      </c>
      <c r="AN38" s="90" t="s">
        <v>12</v>
      </c>
      <c r="AO38" s="246"/>
      <c r="AP38" s="91"/>
      <c r="AQ38" s="73"/>
      <c r="AR38" s="92"/>
      <c r="AS38" s="470"/>
    </row>
    <row r="39" spans="1:45" ht="15.75" customHeight="1">
      <c r="A39" s="67" t="s">
        <v>222</v>
      </c>
      <c r="B39" s="68" t="s">
        <v>72</v>
      </c>
      <c r="C39" s="69"/>
      <c r="D39" s="218" t="s">
        <v>12</v>
      </c>
      <c r="E39" s="218" t="s">
        <v>12</v>
      </c>
      <c r="F39" s="219" t="s">
        <v>12</v>
      </c>
      <c r="G39" s="387">
        <v>150</v>
      </c>
      <c r="H39" s="72">
        <v>13</v>
      </c>
      <c r="I39" s="73" t="s">
        <v>16</v>
      </c>
      <c r="J39" s="74"/>
      <c r="K39" s="73"/>
      <c r="L39" s="75" t="s">
        <v>193</v>
      </c>
      <c r="M39" s="76" t="s">
        <v>274</v>
      </c>
      <c r="N39" s="152"/>
      <c r="O39" s="78">
        <v>42</v>
      </c>
      <c r="P39" s="79"/>
      <c r="Q39" s="80"/>
      <c r="R39" s="81"/>
      <c r="S39" s="68" t="s">
        <v>12</v>
      </c>
      <c r="T39" s="82" t="s">
        <v>93</v>
      </c>
      <c r="U39" s="83"/>
      <c r="V39" s="84">
        <v>3.1</v>
      </c>
      <c r="W39" s="85">
        <v>0.72</v>
      </c>
      <c r="X39" s="80">
        <v>0.32</v>
      </c>
      <c r="Y39" s="86" t="s">
        <v>12</v>
      </c>
      <c r="Z39" s="85" t="s">
        <v>12</v>
      </c>
      <c r="AA39" s="80" t="s">
        <v>12</v>
      </c>
      <c r="AB39" s="86" t="s">
        <v>12</v>
      </c>
      <c r="AC39" s="85" t="s">
        <v>12</v>
      </c>
      <c r="AD39" s="87" t="s">
        <v>12</v>
      </c>
      <c r="AE39" s="383" t="s">
        <v>252</v>
      </c>
      <c r="AF39" s="88">
        <v>7.2</v>
      </c>
      <c r="AG39" s="89">
        <v>1.5</v>
      </c>
      <c r="AH39" s="90">
        <v>3.6</v>
      </c>
      <c r="AI39" s="88" t="s">
        <v>12</v>
      </c>
      <c r="AJ39" s="89" t="s">
        <v>12</v>
      </c>
      <c r="AK39" s="90" t="s">
        <v>12</v>
      </c>
      <c r="AL39" s="88" t="s">
        <v>12</v>
      </c>
      <c r="AM39" s="89" t="s">
        <v>12</v>
      </c>
      <c r="AN39" s="90" t="s">
        <v>12</v>
      </c>
      <c r="AO39" s="246"/>
      <c r="AP39" s="91"/>
      <c r="AQ39" s="73"/>
      <c r="AR39" s="92"/>
      <c r="AS39" s="470"/>
    </row>
    <row r="40" spans="1:45" ht="15.75" customHeight="1">
      <c r="A40" s="67" t="s">
        <v>223</v>
      </c>
      <c r="B40" s="68"/>
      <c r="C40" s="69"/>
      <c r="D40" s="218" t="s">
        <v>12</v>
      </c>
      <c r="E40" s="218" t="s">
        <v>12</v>
      </c>
      <c r="F40" s="219" t="s">
        <v>12</v>
      </c>
      <c r="G40" s="387">
        <v>150</v>
      </c>
      <c r="H40" s="72"/>
      <c r="I40" s="73"/>
      <c r="J40" s="74"/>
      <c r="K40" s="73"/>
      <c r="L40" s="75" t="s">
        <v>193</v>
      </c>
      <c r="M40" s="76"/>
      <c r="N40" s="152"/>
      <c r="O40" s="95"/>
      <c r="P40" s="79"/>
      <c r="Q40" s="80"/>
      <c r="R40" s="81"/>
      <c r="S40" s="68" t="s">
        <v>12</v>
      </c>
      <c r="T40" s="82" t="s">
        <v>86</v>
      </c>
      <c r="U40" s="83"/>
      <c r="V40" s="84">
        <v>1.72</v>
      </c>
      <c r="W40" s="85">
        <v>0.5</v>
      </c>
      <c r="X40" s="80">
        <v>0.23</v>
      </c>
      <c r="Y40" s="86" t="s">
        <v>12</v>
      </c>
      <c r="Z40" s="85" t="s">
        <v>12</v>
      </c>
      <c r="AA40" s="80" t="s">
        <v>12</v>
      </c>
      <c r="AB40" s="86" t="s">
        <v>12</v>
      </c>
      <c r="AC40" s="85" t="s">
        <v>12</v>
      </c>
      <c r="AD40" s="87" t="s">
        <v>12</v>
      </c>
      <c r="AE40" s="68"/>
      <c r="AF40" s="88">
        <v>3.5</v>
      </c>
      <c r="AG40" s="89">
        <v>1</v>
      </c>
      <c r="AH40" s="90" t="s">
        <v>12</v>
      </c>
      <c r="AI40" s="88" t="s">
        <v>12</v>
      </c>
      <c r="AJ40" s="89" t="s">
        <v>12</v>
      </c>
      <c r="AK40" s="90" t="s">
        <v>12</v>
      </c>
      <c r="AL40" s="88" t="s">
        <v>12</v>
      </c>
      <c r="AM40" s="89" t="s">
        <v>12</v>
      </c>
      <c r="AN40" s="90" t="s">
        <v>12</v>
      </c>
      <c r="AO40" s="246"/>
      <c r="AP40" s="91"/>
      <c r="AQ40" s="73"/>
      <c r="AR40" s="92"/>
      <c r="AS40" s="470"/>
    </row>
    <row r="41" spans="1:45" ht="15.75" customHeight="1">
      <c r="A41" s="67" t="s">
        <v>224</v>
      </c>
      <c r="B41" s="68"/>
      <c r="C41" s="69"/>
      <c r="D41" s="218" t="s">
        <v>12</v>
      </c>
      <c r="E41" s="218" t="s">
        <v>12</v>
      </c>
      <c r="F41" s="219" t="s">
        <v>12</v>
      </c>
      <c r="G41" s="387">
        <v>130</v>
      </c>
      <c r="H41" s="72">
        <v>7.65</v>
      </c>
      <c r="I41" s="73" t="s">
        <v>16</v>
      </c>
      <c r="J41" s="74"/>
      <c r="K41" s="73"/>
      <c r="L41" s="75" t="s">
        <v>193</v>
      </c>
      <c r="M41" s="76" t="s">
        <v>274</v>
      </c>
      <c r="N41" s="152"/>
      <c r="O41" s="78">
        <v>10</v>
      </c>
      <c r="P41" s="79"/>
      <c r="Q41" s="80"/>
      <c r="R41" s="81"/>
      <c r="S41" s="68" t="s">
        <v>12</v>
      </c>
      <c r="T41" s="82" t="s">
        <v>380</v>
      </c>
      <c r="U41" s="374" t="s">
        <v>248</v>
      </c>
      <c r="V41" s="84">
        <v>2.63</v>
      </c>
      <c r="W41" s="85">
        <v>0.65</v>
      </c>
      <c r="X41" s="80">
        <v>0.28000000000000003</v>
      </c>
      <c r="Y41" s="86" t="s">
        <v>12</v>
      </c>
      <c r="Z41" s="85" t="s">
        <v>12</v>
      </c>
      <c r="AA41" s="80" t="s">
        <v>12</v>
      </c>
      <c r="AB41" s="86" t="s">
        <v>12</v>
      </c>
      <c r="AC41" s="85" t="s">
        <v>12</v>
      </c>
      <c r="AD41" s="87" t="s">
        <v>12</v>
      </c>
      <c r="AE41" s="68" t="s">
        <v>377</v>
      </c>
      <c r="AF41" s="88">
        <v>0.7</v>
      </c>
      <c r="AG41" s="89">
        <v>1.1000000000000001</v>
      </c>
      <c r="AH41" s="90">
        <v>1.8</v>
      </c>
      <c r="AI41" s="88" t="s">
        <v>12</v>
      </c>
      <c r="AJ41" s="89" t="s">
        <v>12</v>
      </c>
      <c r="AK41" s="90" t="s">
        <v>12</v>
      </c>
      <c r="AL41" s="88" t="s">
        <v>12</v>
      </c>
      <c r="AM41" s="89" t="s">
        <v>12</v>
      </c>
      <c r="AN41" s="90" t="s">
        <v>12</v>
      </c>
      <c r="AO41" s="246"/>
      <c r="AP41" s="91"/>
      <c r="AQ41" s="73"/>
      <c r="AR41" s="92"/>
      <c r="AS41" s="470"/>
    </row>
    <row r="42" spans="1:45" ht="15.75" customHeight="1">
      <c r="A42" s="67" t="s">
        <v>225</v>
      </c>
      <c r="B42" s="68"/>
      <c r="C42" s="69"/>
      <c r="D42" s="332" t="s">
        <v>12</v>
      </c>
      <c r="E42" s="332" t="s">
        <v>12</v>
      </c>
      <c r="F42" s="333" t="s">
        <v>12</v>
      </c>
      <c r="G42" s="387">
        <v>120</v>
      </c>
      <c r="H42" s="72">
        <v>7.98</v>
      </c>
      <c r="I42" s="73" t="s">
        <v>16</v>
      </c>
      <c r="J42" s="74"/>
      <c r="K42" s="73"/>
      <c r="L42" s="75" t="s">
        <v>193</v>
      </c>
      <c r="M42" s="76" t="s">
        <v>274</v>
      </c>
      <c r="N42" s="152"/>
      <c r="O42" s="78">
        <v>20</v>
      </c>
      <c r="P42" s="79"/>
      <c r="Q42" s="80"/>
      <c r="R42" s="81"/>
      <c r="S42" s="68" t="s">
        <v>12</v>
      </c>
      <c r="T42" s="82" t="s">
        <v>380</v>
      </c>
      <c r="U42" s="374" t="s">
        <v>248</v>
      </c>
      <c r="V42" s="84">
        <v>2.54</v>
      </c>
      <c r="W42" s="85">
        <v>0.65</v>
      </c>
      <c r="X42" s="80">
        <v>0.28999999999999998</v>
      </c>
      <c r="Y42" s="86" t="s">
        <v>12</v>
      </c>
      <c r="Z42" s="85" t="s">
        <v>12</v>
      </c>
      <c r="AA42" s="80" t="s">
        <v>12</v>
      </c>
      <c r="AB42" s="86" t="s">
        <v>12</v>
      </c>
      <c r="AC42" s="85" t="s">
        <v>12</v>
      </c>
      <c r="AD42" s="87" t="s">
        <v>12</v>
      </c>
      <c r="AE42" s="68" t="s">
        <v>377</v>
      </c>
      <c r="AF42" s="88">
        <v>0.8</v>
      </c>
      <c r="AG42" s="89">
        <v>0.7</v>
      </c>
      <c r="AH42" s="90">
        <v>2</v>
      </c>
      <c r="AI42" s="88" t="s">
        <v>12</v>
      </c>
      <c r="AJ42" s="89" t="s">
        <v>12</v>
      </c>
      <c r="AK42" s="90" t="s">
        <v>12</v>
      </c>
      <c r="AL42" s="88" t="s">
        <v>12</v>
      </c>
      <c r="AM42" s="89" t="s">
        <v>12</v>
      </c>
      <c r="AN42" s="90" t="s">
        <v>12</v>
      </c>
      <c r="AO42" s="246"/>
      <c r="AP42" s="91"/>
      <c r="AQ42" s="73"/>
      <c r="AR42" s="92"/>
      <c r="AS42" s="470"/>
    </row>
    <row r="43" spans="1:45" ht="15.75" customHeight="1">
      <c r="A43" s="67" t="s">
        <v>226</v>
      </c>
      <c r="B43" s="68"/>
      <c r="C43" s="69"/>
      <c r="D43" s="332" t="s">
        <v>12</v>
      </c>
      <c r="E43" s="332" t="s">
        <v>12</v>
      </c>
      <c r="F43" s="333" t="s">
        <v>12</v>
      </c>
      <c r="G43" s="387">
        <v>100</v>
      </c>
      <c r="H43" s="72">
        <v>6.36</v>
      </c>
      <c r="I43" s="73" t="s">
        <v>16</v>
      </c>
      <c r="J43" s="74"/>
      <c r="K43" s="73"/>
      <c r="L43" s="75" t="s">
        <v>193</v>
      </c>
      <c r="M43" s="76" t="s">
        <v>274</v>
      </c>
      <c r="N43" s="152"/>
      <c r="O43" s="78">
        <v>42</v>
      </c>
      <c r="P43" s="79"/>
      <c r="Q43" s="80"/>
      <c r="R43" s="81"/>
      <c r="S43" s="68" t="s">
        <v>12</v>
      </c>
      <c r="T43" s="82" t="s">
        <v>380</v>
      </c>
      <c r="U43" s="374" t="s">
        <v>248</v>
      </c>
      <c r="V43" s="84">
        <v>2.02</v>
      </c>
      <c r="W43" s="85">
        <v>0.47</v>
      </c>
      <c r="X43" s="80" t="s">
        <v>12</v>
      </c>
      <c r="Y43" s="86" t="s">
        <v>12</v>
      </c>
      <c r="Z43" s="85" t="s">
        <v>12</v>
      </c>
      <c r="AA43" s="80" t="s">
        <v>12</v>
      </c>
      <c r="AB43" s="86" t="s">
        <v>12</v>
      </c>
      <c r="AC43" s="85" t="s">
        <v>12</v>
      </c>
      <c r="AD43" s="87" t="s">
        <v>12</v>
      </c>
      <c r="AE43" s="68" t="s">
        <v>91</v>
      </c>
      <c r="AF43" s="88">
        <v>0.65</v>
      </c>
      <c r="AG43" s="89" t="s">
        <v>12</v>
      </c>
      <c r="AH43" s="90" t="s">
        <v>12</v>
      </c>
      <c r="AI43" s="88" t="s">
        <v>12</v>
      </c>
      <c r="AJ43" s="89" t="s">
        <v>12</v>
      </c>
      <c r="AK43" s="90" t="s">
        <v>12</v>
      </c>
      <c r="AL43" s="88" t="s">
        <v>12</v>
      </c>
      <c r="AM43" s="89" t="s">
        <v>12</v>
      </c>
      <c r="AN43" s="90" t="s">
        <v>12</v>
      </c>
      <c r="AO43" s="246"/>
      <c r="AP43" s="91"/>
      <c r="AQ43" s="73"/>
      <c r="AR43" s="92"/>
      <c r="AS43" s="470"/>
    </row>
    <row r="44" spans="1:45" ht="15.75" customHeight="1">
      <c r="A44" s="67" t="s">
        <v>227</v>
      </c>
      <c r="B44" s="68"/>
      <c r="C44" s="69"/>
      <c r="D44" s="218" t="s">
        <v>12</v>
      </c>
      <c r="E44" s="218" t="s">
        <v>12</v>
      </c>
      <c r="F44" s="219" t="s">
        <v>12</v>
      </c>
      <c r="G44" s="387">
        <v>90</v>
      </c>
      <c r="H44" s="72">
        <v>6.9</v>
      </c>
      <c r="I44" s="73" t="s">
        <v>16</v>
      </c>
      <c r="J44" s="74"/>
      <c r="K44" s="73"/>
      <c r="L44" s="75" t="s">
        <v>193</v>
      </c>
      <c r="M44" s="76" t="s">
        <v>273</v>
      </c>
      <c r="N44" s="77">
        <v>5</v>
      </c>
      <c r="O44" s="80"/>
      <c r="P44" s="79"/>
      <c r="Q44" s="80"/>
      <c r="R44" s="81"/>
      <c r="S44" s="68" t="s">
        <v>12</v>
      </c>
      <c r="T44" s="82" t="s">
        <v>380</v>
      </c>
      <c r="U44" s="374" t="s">
        <v>248</v>
      </c>
      <c r="V44" s="84">
        <v>1.65</v>
      </c>
      <c r="W44" s="85">
        <v>0.4</v>
      </c>
      <c r="X44" s="80" t="s">
        <v>12</v>
      </c>
      <c r="Y44" s="86" t="s">
        <v>12</v>
      </c>
      <c r="Z44" s="85" t="s">
        <v>12</v>
      </c>
      <c r="AA44" s="80" t="s">
        <v>12</v>
      </c>
      <c r="AB44" s="86" t="s">
        <v>12</v>
      </c>
      <c r="AC44" s="85" t="s">
        <v>12</v>
      </c>
      <c r="AD44" s="87" t="s">
        <v>12</v>
      </c>
      <c r="AE44" s="68" t="s">
        <v>91</v>
      </c>
      <c r="AF44" s="88">
        <v>1.7</v>
      </c>
      <c r="AG44" s="89" t="s">
        <v>12</v>
      </c>
      <c r="AH44" s="90" t="s">
        <v>12</v>
      </c>
      <c r="AI44" s="88" t="s">
        <v>12</v>
      </c>
      <c r="AJ44" s="89" t="s">
        <v>12</v>
      </c>
      <c r="AK44" s="90" t="s">
        <v>12</v>
      </c>
      <c r="AL44" s="88" t="s">
        <v>12</v>
      </c>
      <c r="AM44" s="89" t="s">
        <v>12</v>
      </c>
      <c r="AN44" s="90" t="s">
        <v>12</v>
      </c>
      <c r="AO44" s="246"/>
      <c r="AP44" s="91"/>
      <c r="AQ44" s="73"/>
      <c r="AR44" s="92"/>
      <c r="AS44" s="470"/>
    </row>
    <row r="45" spans="1:45" ht="15.75" customHeight="1">
      <c r="A45" s="67" t="s">
        <v>228</v>
      </c>
      <c r="B45" s="68"/>
      <c r="C45" s="69"/>
      <c r="D45" s="218" t="s">
        <v>12</v>
      </c>
      <c r="E45" s="218" t="s">
        <v>12</v>
      </c>
      <c r="F45" s="219" t="s">
        <v>12</v>
      </c>
      <c r="G45" s="387">
        <v>81</v>
      </c>
      <c r="H45" s="72">
        <v>5.47</v>
      </c>
      <c r="I45" s="73" t="s">
        <v>16</v>
      </c>
      <c r="J45" s="74"/>
      <c r="K45" s="73"/>
      <c r="L45" s="75" t="s">
        <v>193</v>
      </c>
      <c r="M45" s="76" t="s">
        <v>273</v>
      </c>
      <c r="N45" s="77">
        <v>5</v>
      </c>
      <c r="O45" s="80"/>
      <c r="P45" s="79"/>
      <c r="Q45" s="80"/>
      <c r="R45" s="81"/>
      <c r="S45" s="68" t="s">
        <v>12</v>
      </c>
      <c r="T45" s="82" t="s">
        <v>380</v>
      </c>
      <c r="U45" s="374" t="s">
        <v>248</v>
      </c>
      <c r="V45" s="84">
        <v>1.73</v>
      </c>
      <c r="W45" s="85">
        <v>0.42</v>
      </c>
      <c r="X45" s="80">
        <v>0.18</v>
      </c>
      <c r="Y45" s="86" t="s">
        <v>12</v>
      </c>
      <c r="Z45" s="85" t="s">
        <v>12</v>
      </c>
      <c r="AA45" s="80" t="s">
        <v>12</v>
      </c>
      <c r="AB45" s="86" t="s">
        <v>12</v>
      </c>
      <c r="AC45" s="85" t="s">
        <v>12</v>
      </c>
      <c r="AD45" s="87" t="s">
        <v>12</v>
      </c>
      <c r="AE45" s="68" t="s">
        <v>377</v>
      </c>
      <c r="AF45" s="88">
        <v>0.62</v>
      </c>
      <c r="AG45" s="89">
        <v>0.84</v>
      </c>
      <c r="AH45" s="90">
        <v>1.3</v>
      </c>
      <c r="AI45" s="88" t="s">
        <v>12</v>
      </c>
      <c r="AJ45" s="89" t="s">
        <v>12</v>
      </c>
      <c r="AK45" s="90" t="s">
        <v>12</v>
      </c>
      <c r="AL45" s="88" t="s">
        <v>12</v>
      </c>
      <c r="AM45" s="89" t="s">
        <v>12</v>
      </c>
      <c r="AN45" s="90" t="s">
        <v>12</v>
      </c>
      <c r="AO45" s="246"/>
      <c r="AP45" s="91"/>
      <c r="AQ45" s="73"/>
      <c r="AR45" s="92"/>
      <c r="AS45" s="470"/>
    </row>
    <row r="46" spans="1:45" ht="15.75" customHeight="1">
      <c r="A46" s="67" t="s">
        <v>229</v>
      </c>
      <c r="B46" s="68" t="s">
        <v>247</v>
      </c>
      <c r="C46" s="69"/>
      <c r="D46" s="218" t="s">
        <v>12</v>
      </c>
      <c r="E46" s="218" t="s">
        <v>12</v>
      </c>
      <c r="F46" s="219" t="s">
        <v>12</v>
      </c>
      <c r="G46" s="387">
        <v>80</v>
      </c>
      <c r="H46" s="72">
        <v>6.5</v>
      </c>
      <c r="I46" s="73" t="s">
        <v>16</v>
      </c>
      <c r="J46" s="74"/>
      <c r="K46" s="73"/>
      <c r="L46" s="75" t="s">
        <v>193</v>
      </c>
      <c r="M46" s="76" t="s">
        <v>274</v>
      </c>
      <c r="N46" s="152"/>
      <c r="O46" s="95"/>
      <c r="P46" s="79"/>
      <c r="Q46" s="80"/>
      <c r="R46" s="81"/>
      <c r="S46" s="68" t="s">
        <v>12</v>
      </c>
      <c r="T46" s="82" t="s">
        <v>87</v>
      </c>
      <c r="U46" s="83" t="s">
        <v>18</v>
      </c>
      <c r="V46" s="84">
        <v>1.58</v>
      </c>
      <c r="W46" s="85" t="s">
        <v>12</v>
      </c>
      <c r="X46" s="80" t="s">
        <v>12</v>
      </c>
      <c r="Y46" s="86" t="s">
        <v>12</v>
      </c>
      <c r="Z46" s="85" t="s">
        <v>12</v>
      </c>
      <c r="AA46" s="80" t="s">
        <v>12</v>
      </c>
      <c r="AB46" s="86" t="s">
        <v>12</v>
      </c>
      <c r="AC46" s="85" t="s">
        <v>12</v>
      </c>
      <c r="AD46" s="87" t="s">
        <v>12</v>
      </c>
      <c r="AE46" s="68" t="s">
        <v>91</v>
      </c>
      <c r="AF46" s="88">
        <v>1.3</v>
      </c>
      <c r="AG46" s="89" t="s">
        <v>12</v>
      </c>
      <c r="AH46" s="90" t="s">
        <v>12</v>
      </c>
      <c r="AI46" s="88" t="s">
        <v>12</v>
      </c>
      <c r="AJ46" s="89" t="s">
        <v>12</v>
      </c>
      <c r="AK46" s="90" t="s">
        <v>12</v>
      </c>
      <c r="AL46" s="88" t="s">
        <v>12</v>
      </c>
      <c r="AM46" s="89" t="s">
        <v>12</v>
      </c>
      <c r="AN46" s="90" t="s">
        <v>12</v>
      </c>
      <c r="AO46" s="246"/>
      <c r="AP46" s="91"/>
      <c r="AQ46" s="73"/>
      <c r="AR46" s="92"/>
      <c r="AS46" s="470"/>
    </row>
    <row r="47" spans="1:45" ht="15.75" customHeight="1">
      <c r="A47" s="67" t="s">
        <v>230</v>
      </c>
      <c r="B47" s="68" t="s">
        <v>243</v>
      </c>
      <c r="C47" s="69"/>
      <c r="D47" s="332" t="s">
        <v>195</v>
      </c>
      <c r="E47" s="332" t="s">
        <v>195</v>
      </c>
      <c r="F47" s="333" t="s">
        <v>195</v>
      </c>
      <c r="G47" s="387">
        <v>58</v>
      </c>
      <c r="H47" s="72">
        <v>6.2</v>
      </c>
      <c r="I47" s="73" t="s">
        <v>314</v>
      </c>
      <c r="J47" s="74">
        <v>6.2</v>
      </c>
      <c r="K47" s="73"/>
      <c r="L47" s="75" t="s">
        <v>194</v>
      </c>
      <c r="M47" s="76" t="s">
        <v>273</v>
      </c>
      <c r="N47" s="152"/>
      <c r="O47" s="95"/>
      <c r="P47" s="79"/>
      <c r="Q47" s="80"/>
      <c r="R47" s="81"/>
      <c r="S47" s="68" t="s">
        <v>195</v>
      </c>
      <c r="T47" s="82" t="s">
        <v>86</v>
      </c>
      <c r="U47" s="83" t="s">
        <v>30</v>
      </c>
      <c r="V47" s="84">
        <v>0.72992700729927007</v>
      </c>
      <c r="W47" s="85">
        <v>0.16891891891891891</v>
      </c>
      <c r="X47" s="80" t="s">
        <v>195</v>
      </c>
      <c r="Y47" s="86">
        <v>0.7246376811594204</v>
      </c>
      <c r="Z47" s="85">
        <v>0.15822784810126581</v>
      </c>
      <c r="AA47" s="80" t="s">
        <v>195</v>
      </c>
      <c r="AB47" s="86" t="s">
        <v>195</v>
      </c>
      <c r="AC47" s="85" t="s">
        <v>195</v>
      </c>
      <c r="AD47" s="87" t="s">
        <v>195</v>
      </c>
      <c r="AE47" s="68" t="s">
        <v>92</v>
      </c>
      <c r="AF47" s="88">
        <v>0.85499999999999998</v>
      </c>
      <c r="AG47" s="89" t="s">
        <v>195</v>
      </c>
      <c r="AH47" s="90" t="s">
        <v>195</v>
      </c>
      <c r="AI47" s="88">
        <v>0.77</v>
      </c>
      <c r="AJ47" s="89" t="s">
        <v>195</v>
      </c>
      <c r="AK47" s="90" t="s">
        <v>195</v>
      </c>
      <c r="AL47" s="88" t="s">
        <v>195</v>
      </c>
      <c r="AM47" s="89" t="s">
        <v>195</v>
      </c>
      <c r="AN47" s="90" t="s">
        <v>195</v>
      </c>
      <c r="AO47" s="246" t="s">
        <v>289</v>
      </c>
      <c r="AP47" s="91"/>
      <c r="AQ47" s="73"/>
      <c r="AR47" s="92"/>
      <c r="AS47" s="470"/>
    </row>
    <row r="48" spans="1:45" ht="15.75" customHeight="1">
      <c r="A48" s="67" t="s">
        <v>231</v>
      </c>
      <c r="B48" s="68" t="s">
        <v>244</v>
      </c>
      <c r="C48" s="69"/>
      <c r="D48" s="332" t="s">
        <v>195</v>
      </c>
      <c r="E48" s="332" t="s">
        <v>195</v>
      </c>
      <c r="F48" s="333" t="s">
        <v>195</v>
      </c>
      <c r="G48" s="387">
        <v>58</v>
      </c>
      <c r="H48" s="72">
        <v>7.1</v>
      </c>
      <c r="I48" s="73"/>
      <c r="J48" s="74"/>
      <c r="K48" s="73" t="s">
        <v>271</v>
      </c>
      <c r="L48" s="75" t="s">
        <v>194</v>
      </c>
      <c r="M48" s="76" t="s">
        <v>273</v>
      </c>
      <c r="N48" s="152"/>
      <c r="O48" s="95"/>
      <c r="P48" s="79"/>
      <c r="Q48" s="80"/>
      <c r="R48" s="81"/>
      <c r="S48" s="68" t="s">
        <v>195</v>
      </c>
      <c r="T48" s="82" t="s">
        <v>86</v>
      </c>
      <c r="U48" s="83" t="s">
        <v>30</v>
      </c>
      <c r="V48" s="84">
        <v>0.90909090909090906</v>
      </c>
      <c r="W48" s="85">
        <v>0.19646365422396858</v>
      </c>
      <c r="X48" s="80" t="s">
        <v>195</v>
      </c>
      <c r="Y48" s="86">
        <v>0.90909090909090906</v>
      </c>
      <c r="Z48" s="85">
        <v>0.19493177387914232</v>
      </c>
      <c r="AA48" s="80" t="s">
        <v>195</v>
      </c>
      <c r="AB48" s="86" t="s">
        <v>195</v>
      </c>
      <c r="AC48" s="85" t="s">
        <v>195</v>
      </c>
      <c r="AD48" s="87" t="s">
        <v>195</v>
      </c>
      <c r="AE48" s="68" t="s">
        <v>92</v>
      </c>
      <c r="AF48" s="88">
        <v>0.65</v>
      </c>
      <c r="AG48" s="89" t="s">
        <v>195</v>
      </c>
      <c r="AH48" s="90" t="s">
        <v>195</v>
      </c>
      <c r="AI48" s="88">
        <v>0.65500000000000003</v>
      </c>
      <c r="AJ48" s="89" t="s">
        <v>195</v>
      </c>
      <c r="AK48" s="90" t="s">
        <v>195</v>
      </c>
      <c r="AL48" s="88" t="s">
        <v>195</v>
      </c>
      <c r="AM48" s="89" t="s">
        <v>195</v>
      </c>
      <c r="AN48" s="90" t="s">
        <v>195</v>
      </c>
      <c r="AO48" s="246" t="s">
        <v>289</v>
      </c>
      <c r="AP48" s="91"/>
      <c r="AQ48" s="73"/>
      <c r="AR48" s="92"/>
      <c r="AS48" s="470"/>
    </row>
    <row r="49" spans="1:45" ht="15.75" customHeight="1">
      <c r="A49" s="67" t="s">
        <v>232</v>
      </c>
      <c r="B49" s="68"/>
      <c r="C49" s="69"/>
      <c r="D49" s="332" t="s">
        <v>195</v>
      </c>
      <c r="E49" s="332" t="s">
        <v>195</v>
      </c>
      <c r="F49" s="333" t="s">
        <v>195</v>
      </c>
      <c r="G49" s="387">
        <v>57.5</v>
      </c>
      <c r="H49" s="72">
        <v>5.6</v>
      </c>
      <c r="I49" s="73" t="s">
        <v>314</v>
      </c>
      <c r="J49" s="74">
        <v>3.9</v>
      </c>
      <c r="K49" s="73"/>
      <c r="L49" s="75" t="s">
        <v>194</v>
      </c>
      <c r="M49" s="76" t="s">
        <v>273</v>
      </c>
      <c r="N49" s="152"/>
      <c r="O49" s="95"/>
      <c r="P49" s="79"/>
      <c r="Q49" s="80"/>
      <c r="R49" s="81"/>
      <c r="S49" s="68" t="s">
        <v>195</v>
      </c>
      <c r="T49" s="82" t="s">
        <v>86</v>
      </c>
      <c r="U49" s="83" t="s">
        <v>30</v>
      </c>
      <c r="V49" s="84">
        <f>1/0.93</f>
        <v>1.075268817204301</v>
      </c>
      <c r="W49" s="85">
        <v>0.20283975659229211</v>
      </c>
      <c r="X49" s="80" t="s">
        <v>195</v>
      </c>
      <c r="Y49" s="86">
        <v>0.83333333333333337</v>
      </c>
      <c r="Z49" s="85">
        <v>0.1663893510815308</v>
      </c>
      <c r="AA49" s="80" t="s">
        <v>195</v>
      </c>
      <c r="AB49" s="86" t="s">
        <v>195</v>
      </c>
      <c r="AC49" s="85" t="s">
        <v>195</v>
      </c>
      <c r="AD49" s="87" t="s">
        <v>195</v>
      </c>
      <c r="AE49" s="68" t="s">
        <v>92</v>
      </c>
      <c r="AF49" s="88">
        <v>0.68500000000000005</v>
      </c>
      <c r="AG49" s="89" t="s">
        <v>195</v>
      </c>
      <c r="AH49" s="90" t="s">
        <v>195</v>
      </c>
      <c r="AI49" s="88">
        <v>0.65</v>
      </c>
      <c r="AJ49" s="89" t="s">
        <v>195</v>
      </c>
      <c r="AK49" s="90" t="s">
        <v>195</v>
      </c>
      <c r="AL49" s="88" t="s">
        <v>195</v>
      </c>
      <c r="AM49" s="89" t="s">
        <v>195</v>
      </c>
      <c r="AN49" s="90" t="s">
        <v>195</v>
      </c>
      <c r="AO49" s="246" t="s">
        <v>289</v>
      </c>
      <c r="AP49" s="91"/>
      <c r="AQ49" s="73"/>
      <c r="AR49" s="92"/>
      <c r="AS49" s="470"/>
    </row>
    <row r="50" spans="1:45" ht="15.75" customHeight="1">
      <c r="A50" s="67" t="s">
        <v>233</v>
      </c>
      <c r="B50" s="68"/>
      <c r="C50" s="69"/>
      <c r="D50" s="332" t="s">
        <v>195</v>
      </c>
      <c r="E50" s="332" t="s">
        <v>195</v>
      </c>
      <c r="F50" s="333" t="s">
        <v>195</v>
      </c>
      <c r="G50" s="387">
        <v>57.5</v>
      </c>
      <c r="H50" s="72">
        <v>5.6</v>
      </c>
      <c r="I50" s="73" t="s">
        <v>314</v>
      </c>
      <c r="J50" s="74">
        <v>3.8</v>
      </c>
      <c r="K50" s="73" t="s">
        <v>272</v>
      </c>
      <c r="L50" s="75" t="s">
        <v>194</v>
      </c>
      <c r="M50" s="76" t="s">
        <v>273</v>
      </c>
      <c r="N50" s="152"/>
      <c r="O50" s="95"/>
      <c r="P50" s="79"/>
      <c r="Q50" s="80"/>
      <c r="R50" s="81"/>
      <c r="S50" s="68" t="s">
        <v>195</v>
      </c>
      <c r="T50" s="82" t="s">
        <v>86</v>
      </c>
      <c r="U50" s="83" t="s">
        <v>30</v>
      </c>
      <c r="V50" s="84">
        <f>1/0.94</f>
        <v>1.0638297872340425</v>
      </c>
      <c r="W50" s="85">
        <f>1/4.89</f>
        <v>0.20449897750511248</v>
      </c>
      <c r="X50" s="80" t="s">
        <v>195</v>
      </c>
      <c r="Y50" s="86">
        <f>1/1.2</f>
        <v>0.83333333333333337</v>
      </c>
      <c r="Z50" s="85">
        <f>1/5.93</f>
        <v>0.16863406408094436</v>
      </c>
      <c r="AA50" s="80" t="s">
        <v>195</v>
      </c>
      <c r="AB50" s="86" t="s">
        <v>195</v>
      </c>
      <c r="AC50" s="85" t="s">
        <v>195</v>
      </c>
      <c r="AD50" s="87" t="s">
        <v>195</v>
      </c>
      <c r="AE50" s="68" t="s">
        <v>92</v>
      </c>
      <c r="AF50" s="88">
        <v>0.90500000000000003</v>
      </c>
      <c r="AG50" s="89" t="s">
        <v>195</v>
      </c>
      <c r="AH50" s="90" t="s">
        <v>195</v>
      </c>
      <c r="AI50" s="88">
        <v>1.38</v>
      </c>
      <c r="AJ50" s="89" t="s">
        <v>195</v>
      </c>
      <c r="AK50" s="90" t="s">
        <v>195</v>
      </c>
      <c r="AL50" s="88" t="s">
        <v>195</v>
      </c>
      <c r="AM50" s="89" t="s">
        <v>195</v>
      </c>
      <c r="AN50" s="90" t="s">
        <v>195</v>
      </c>
      <c r="AO50" s="246" t="s">
        <v>289</v>
      </c>
      <c r="AP50" s="91"/>
      <c r="AQ50" s="73"/>
      <c r="AR50" s="92"/>
      <c r="AS50" s="470"/>
    </row>
    <row r="51" spans="1:45" ht="15.75" customHeight="1">
      <c r="A51" s="67" t="s">
        <v>234</v>
      </c>
      <c r="B51" s="68" t="s">
        <v>244</v>
      </c>
      <c r="C51" s="69"/>
      <c r="D51" s="332" t="s">
        <v>195</v>
      </c>
      <c r="E51" s="332" t="s">
        <v>195</v>
      </c>
      <c r="F51" s="333" t="s">
        <v>195</v>
      </c>
      <c r="G51" s="387">
        <v>57.5</v>
      </c>
      <c r="H51" s="72">
        <v>5</v>
      </c>
      <c r="I51" s="73" t="s">
        <v>314</v>
      </c>
      <c r="J51" s="74">
        <v>5</v>
      </c>
      <c r="K51" s="73"/>
      <c r="L51" s="75" t="s">
        <v>194</v>
      </c>
      <c r="M51" s="76" t="s">
        <v>273</v>
      </c>
      <c r="N51" s="152"/>
      <c r="O51" s="95"/>
      <c r="P51" s="79"/>
      <c r="Q51" s="80"/>
      <c r="R51" s="81"/>
      <c r="S51" s="68" t="s">
        <v>195</v>
      </c>
      <c r="T51" s="82" t="s">
        <v>86</v>
      </c>
      <c r="U51" s="83" t="s">
        <v>30</v>
      </c>
      <c r="V51" s="84">
        <f>1/1.24</f>
        <v>0.80645161290322587</v>
      </c>
      <c r="W51" s="85">
        <f>1/6.05</f>
        <v>0.16528925619834711</v>
      </c>
      <c r="X51" s="80" t="s">
        <v>195</v>
      </c>
      <c r="Y51" s="86">
        <f>1/1.25</f>
        <v>0.8</v>
      </c>
      <c r="Z51" s="85">
        <f>1/6.23</f>
        <v>0.16051364365971107</v>
      </c>
      <c r="AA51" s="80" t="s">
        <v>195</v>
      </c>
      <c r="AB51" s="86" t="s">
        <v>195</v>
      </c>
      <c r="AC51" s="85" t="s">
        <v>195</v>
      </c>
      <c r="AD51" s="87" t="s">
        <v>195</v>
      </c>
      <c r="AE51" s="68" t="s">
        <v>92</v>
      </c>
      <c r="AF51" s="88">
        <v>0.69</v>
      </c>
      <c r="AG51" s="89" t="s">
        <v>195</v>
      </c>
      <c r="AH51" s="90" t="s">
        <v>195</v>
      </c>
      <c r="AI51" s="88">
        <v>0.68</v>
      </c>
      <c r="AJ51" s="89" t="s">
        <v>195</v>
      </c>
      <c r="AK51" s="90" t="s">
        <v>195</v>
      </c>
      <c r="AL51" s="88" t="s">
        <v>195</v>
      </c>
      <c r="AM51" s="89" t="s">
        <v>195</v>
      </c>
      <c r="AN51" s="90" t="s">
        <v>195</v>
      </c>
      <c r="AO51" s="246" t="s">
        <v>289</v>
      </c>
      <c r="AP51" s="91"/>
      <c r="AQ51" s="73"/>
      <c r="AR51" s="92"/>
      <c r="AS51" s="470"/>
    </row>
    <row r="52" spans="1:45" ht="15.75" customHeight="1">
      <c r="A52" s="67" t="s">
        <v>235</v>
      </c>
      <c r="B52" s="68"/>
      <c r="C52" s="69"/>
      <c r="D52" s="332" t="s">
        <v>195</v>
      </c>
      <c r="E52" s="332" t="s">
        <v>195</v>
      </c>
      <c r="F52" s="333" t="s">
        <v>195</v>
      </c>
      <c r="G52" s="387">
        <v>57.5</v>
      </c>
      <c r="H52" s="72">
        <v>6.8</v>
      </c>
      <c r="I52" s="73" t="s">
        <v>16</v>
      </c>
      <c r="J52" s="74"/>
      <c r="K52" s="73"/>
      <c r="L52" s="75" t="s">
        <v>194</v>
      </c>
      <c r="M52" s="76" t="s">
        <v>273</v>
      </c>
      <c r="N52" s="152"/>
      <c r="O52" s="95"/>
      <c r="P52" s="79"/>
      <c r="Q52" s="80"/>
      <c r="R52" s="81"/>
      <c r="S52" s="68" t="s">
        <v>195</v>
      </c>
      <c r="T52" s="82" t="s">
        <v>86</v>
      </c>
      <c r="U52" s="83" t="s">
        <v>30</v>
      </c>
      <c r="V52" s="84">
        <f>1/1.35</f>
        <v>0.7407407407407407</v>
      </c>
      <c r="W52" s="85">
        <f>1/6.09</f>
        <v>0.16420361247947454</v>
      </c>
      <c r="X52" s="80" t="s">
        <v>195</v>
      </c>
      <c r="Y52" s="86">
        <f>1/1.47</f>
        <v>0.68027210884353739</v>
      </c>
      <c r="Z52" s="85">
        <f>1/6.73</f>
        <v>0.14858841010401189</v>
      </c>
      <c r="AA52" s="80" t="s">
        <v>195</v>
      </c>
      <c r="AB52" s="86" t="s">
        <v>195</v>
      </c>
      <c r="AC52" s="85" t="s">
        <v>195</v>
      </c>
      <c r="AD52" s="87" t="s">
        <v>195</v>
      </c>
      <c r="AE52" s="68" t="s">
        <v>92</v>
      </c>
      <c r="AF52" s="88">
        <v>0.72499999999999998</v>
      </c>
      <c r="AG52" s="89" t="s">
        <v>195</v>
      </c>
      <c r="AH52" s="90" t="s">
        <v>195</v>
      </c>
      <c r="AI52" s="88">
        <v>0.875</v>
      </c>
      <c r="AJ52" s="89" t="s">
        <v>195</v>
      </c>
      <c r="AK52" s="90" t="s">
        <v>195</v>
      </c>
      <c r="AL52" s="88" t="s">
        <v>195</v>
      </c>
      <c r="AM52" s="89" t="s">
        <v>195</v>
      </c>
      <c r="AN52" s="90" t="s">
        <v>195</v>
      </c>
      <c r="AO52" s="246" t="s">
        <v>289</v>
      </c>
      <c r="AP52" s="91"/>
      <c r="AQ52" s="73"/>
      <c r="AR52" s="92"/>
      <c r="AS52" s="470"/>
    </row>
    <row r="53" spans="1:45" ht="15.75" customHeight="1">
      <c r="A53" s="67" t="s">
        <v>236</v>
      </c>
      <c r="B53" s="68" t="s">
        <v>245</v>
      </c>
      <c r="C53" s="69"/>
      <c r="D53" s="332" t="s">
        <v>195</v>
      </c>
      <c r="E53" s="332" t="s">
        <v>195</v>
      </c>
      <c r="F53" s="333" t="s">
        <v>195</v>
      </c>
      <c r="G53" s="387">
        <v>57.2</v>
      </c>
      <c r="H53" s="72">
        <v>7.3</v>
      </c>
      <c r="I53" s="73"/>
      <c r="J53" s="74"/>
      <c r="K53" s="73" t="s">
        <v>271</v>
      </c>
      <c r="L53" s="75" t="s">
        <v>194</v>
      </c>
      <c r="M53" s="76" t="s">
        <v>273</v>
      </c>
      <c r="N53" s="152"/>
      <c r="O53" s="95"/>
      <c r="P53" s="79"/>
      <c r="Q53" s="80"/>
      <c r="R53" s="81"/>
      <c r="S53" s="68" t="s">
        <v>195</v>
      </c>
      <c r="T53" s="82" t="s">
        <v>86</v>
      </c>
      <c r="U53" s="83" t="s">
        <v>30</v>
      </c>
      <c r="V53" s="84">
        <v>0.72992700729927007</v>
      </c>
      <c r="W53" s="85">
        <v>0.15923566878980891</v>
      </c>
      <c r="X53" s="80" t="s">
        <v>195</v>
      </c>
      <c r="Y53" s="86">
        <v>0.7246376811594204</v>
      </c>
      <c r="Z53" s="85">
        <v>0.15772870662460567</v>
      </c>
      <c r="AA53" s="80" t="s">
        <v>195</v>
      </c>
      <c r="AB53" s="86" t="s">
        <v>195</v>
      </c>
      <c r="AC53" s="85" t="s">
        <v>195</v>
      </c>
      <c r="AD53" s="87" t="s">
        <v>195</v>
      </c>
      <c r="AE53" s="68" t="s">
        <v>92</v>
      </c>
      <c r="AF53" s="88">
        <v>0.67500000000000004</v>
      </c>
      <c r="AG53" s="89" t="s">
        <v>195</v>
      </c>
      <c r="AH53" s="90" t="s">
        <v>195</v>
      </c>
      <c r="AI53" s="88">
        <v>0.63</v>
      </c>
      <c r="AJ53" s="89" t="s">
        <v>195</v>
      </c>
      <c r="AK53" s="90" t="s">
        <v>195</v>
      </c>
      <c r="AL53" s="88" t="s">
        <v>195</v>
      </c>
      <c r="AM53" s="89" t="s">
        <v>195</v>
      </c>
      <c r="AN53" s="90" t="s">
        <v>195</v>
      </c>
      <c r="AO53" s="246" t="s">
        <v>289</v>
      </c>
      <c r="AP53" s="91"/>
      <c r="AQ53" s="73"/>
      <c r="AR53" s="92"/>
      <c r="AS53" s="470"/>
    </row>
    <row r="54" spans="1:45" ht="15.75" customHeight="1">
      <c r="A54" s="67" t="s">
        <v>237</v>
      </c>
      <c r="B54" s="68" t="s">
        <v>246</v>
      </c>
      <c r="C54" s="69"/>
      <c r="D54" s="332" t="s">
        <v>195</v>
      </c>
      <c r="E54" s="332" t="s">
        <v>195</v>
      </c>
      <c r="F54" s="333" t="s">
        <v>195</v>
      </c>
      <c r="G54" s="387">
        <v>53.5</v>
      </c>
      <c r="H54" s="72">
        <v>6.5</v>
      </c>
      <c r="I54" s="73" t="s">
        <v>314</v>
      </c>
      <c r="J54" s="74">
        <v>4.0999999999999996</v>
      </c>
      <c r="K54" s="73"/>
      <c r="L54" s="75" t="s">
        <v>194</v>
      </c>
      <c r="M54" s="76" t="s">
        <v>273</v>
      </c>
      <c r="N54" s="152"/>
      <c r="O54" s="95"/>
      <c r="P54" s="79"/>
      <c r="Q54" s="80"/>
      <c r="R54" s="81"/>
      <c r="S54" s="68" t="s">
        <v>195</v>
      </c>
      <c r="T54" s="82" t="s">
        <v>86</v>
      </c>
      <c r="U54" s="83" t="s">
        <v>30</v>
      </c>
      <c r="V54" s="84">
        <v>0.86956521739130443</v>
      </c>
      <c r="W54" s="85">
        <v>0.1890359168241966</v>
      </c>
      <c r="X54" s="80" t="s">
        <v>195</v>
      </c>
      <c r="Y54" s="86">
        <f>1/1.48</f>
        <v>0.67567567567567566</v>
      </c>
      <c r="Z54" s="85">
        <v>0.14641288433382138</v>
      </c>
      <c r="AA54" s="80" t="s">
        <v>195</v>
      </c>
      <c r="AB54" s="86" t="s">
        <v>195</v>
      </c>
      <c r="AC54" s="85" t="s">
        <v>195</v>
      </c>
      <c r="AD54" s="87" t="s">
        <v>195</v>
      </c>
      <c r="AE54" s="68" t="s">
        <v>92</v>
      </c>
      <c r="AF54" s="88">
        <v>0.65500000000000003</v>
      </c>
      <c r="AG54" s="89" t="s">
        <v>195</v>
      </c>
      <c r="AH54" s="90" t="s">
        <v>195</v>
      </c>
      <c r="AI54" s="88">
        <v>0.93</v>
      </c>
      <c r="AJ54" s="89" t="s">
        <v>195</v>
      </c>
      <c r="AK54" s="90" t="s">
        <v>195</v>
      </c>
      <c r="AL54" s="88" t="s">
        <v>195</v>
      </c>
      <c r="AM54" s="89" t="s">
        <v>195</v>
      </c>
      <c r="AN54" s="90" t="s">
        <v>195</v>
      </c>
      <c r="AO54" s="246" t="s">
        <v>289</v>
      </c>
      <c r="AP54" s="91"/>
      <c r="AQ54" s="73"/>
      <c r="AR54" s="92"/>
      <c r="AS54" s="470"/>
    </row>
    <row r="55" spans="1:45" ht="15.75" customHeight="1">
      <c r="A55" s="67" t="s">
        <v>238</v>
      </c>
      <c r="B55" s="68"/>
      <c r="C55" s="69"/>
      <c r="D55" s="332" t="s">
        <v>195</v>
      </c>
      <c r="E55" s="332" t="s">
        <v>195</v>
      </c>
      <c r="F55" s="333" t="s">
        <v>195</v>
      </c>
      <c r="G55" s="387">
        <v>48.5</v>
      </c>
      <c r="H55" s="72">
        <v>4</v>
      </c>
      <c r="I55" s="73" t="s">
        <v>16</v>
      </c>
      <c r="J55" s="74"/>
      <c r="K55" s="73"/>
      <c r="L55" s="75" t="s">
        <v>194</v>
      </c>
      <c r="M55" s="76" t="s">
        <v>273</v>
      </c>
      <c r="N55" s="152"/>
      <c r="O55" s="95"/>
      <c r="P55" s="79"/>
      <c r="Q55" s="80"/>
      <c r="R55" s="81"/>
      <c r="S55" s="68" t="s">
        <v>195</v>
      </c>
      <c r="T55" s="82" t="s">
        <v>86</v>
      </c>
      <c r="U55" s="83" t="s">
        <v>30</v>
      </c>
      <c r="V55" s="84">
        <f>1/1.16</f>
        <v>0.86206896551724144</v>
      </c>
      <c r="W55" s="85">
        <f>1/5.77</f>
        <v>0.1733102253032929</v>
      </c>
      <c r="X55" s="80" t="s">
        <v>195</v>
      </c>
      <c r="Y55" s="86">
        <f>1/1.19</f>
        <v>0.84033613445378152</v>
      </c>
      <c r="Z55" s="85">
        <f>1/5.86</f>
        <v>0.17064846416382251</v>
      </c>
      <c r="AA55" s="80" t="s">
        <v>195</v>
      </c>
      <c r="AB55" s="86" t="s">
        <v>195</v>
      </c>
      <c r="AC55" s="85" t="s">
        <v>195</v>
      </c>
      <c r="AD55" s="87" t="s">
        <v>195</v>
      </c>
      <c r="AE55" s="68" t="s">
        <v>92</v>
      </c>
      <c r="AF55" s="88">
        <v>0.85499999999999998</v>
      </c>
      <c r="AG55" s="89" t="s">
        <v>195</v>
      </c>
      <c r="AH55" s="90" t="s">
        <v>195</v>
      </c>
      <c r="AI55" s="88">
        <v>0.77</v>
      </c>
      <c r="AJ55" s="89" t="s">
        <v>195</v>
      </c>
      <c r="AK55" s="90" t="s">
        <v>195</v>
      </c>
      <c r="AL55" s="88" t="s">
        <v>195</v>
      </c>
      <c r="AM55" s="89" t="s">
        <v>195</v>
      </c>
      <c r="AN55" s="90" t="s">
        <v>195</v>
      </c>
      <c r="AO55" s="246" t="s">
        <v>289</v>
      </c>
      <c r="AP55" s="91"/>
      <c r="AQ55" s="73"/>
      <c r="AR55" s="92"/>
      <c r="AS55" s="470"/>
    </row>
    <row r="56" spans="1:45" ht="15.75" customHeight="1">
      <c r="A56" s="67" t="s">
        <v>239</v>
      </c>
      <c r="B56" s="68"/>
      <c r="C56" s="69"/>
      <c r="D56" s="331" t="s">
        <v>12</v>
      </c>
      <c r="E56" s="332" t="s">
        <v>12</v>
      </c>
      <c r="F56" s="333" t="s">
        <v>12</v>
      </c>
      <c r="G56" s="387">
        <v>45</v>
      </c>
      <c r="H56" s="72"/>
      <c r="I56" s="73"/>
      <c r="J56" s="74"/>
      <c r="K56" s="73"/>
      <c r="L56" s="75" t="s">
        <v>193</v>
      </c>
      <c r="M56" s="76"/>
      <c r="N56" s="152"/>
      <c r="O56" s="95"/>
      <c r="P56" s="79"/>
      <c r="Q56" s="80"/>
      <c r="R56" s="81"/>
      <c r="S56" s="68" t="s">
        <v>12</v>
      </c>
      <c r="T56" s="82" t="s">
        <v>85</v>
      </c>
      <c r="U56" s="83"/>
      <c r="V56" s="84">
        <v>1.1000000000000001</v>
      </c>
      <c r="W56" s="85" t="s">
        <v>12</v>
      </c>
      <c r="X56" s="80" t="s">
        <v>12</v>
      </c>
      <c r="Y56" s="86" t="s">
        <v>12</v>
      </c>
      <c r="Z56" s="85" t="s">
        <v>12</v>
      </c>
      <c r="AA56" s="80" t="s">
        <v>12</v>
      </c>
      <c r="AB56" s="86" t="s">
        <v>12</v>
      </c>
      <c r="AC56" s="85" t="s">
        <v>12</v>
      </c>
      <c r="AD56" s="87" t="s">
        <v>12</v>
      </c>
      <c r="AE56" s="68"/>
      <c r="AF56" s="88">
        <v>1.2</v>
      </c>
      <c r="AG56" s="89" t="s">
        <v>12</v>
      </c>
      <c r="AH56" s="90" t="s">
        <v>12</v>
      </c>
      <c r="AI56" s="88" t="s">
        <v>12</v>
      </c>
      <c r="AJ56" s="89" t="s">
        <v>12</v>
      </c>
      <c r="AK56" s="90" t="s">
        <v>12</v>
      </c>
      <c r="AL56" s="88" t="s">
        <v>12</v>
      </c>
      <c r="AM56" s="89" t="s">
        <v>12</v>
      </c>
      <c r="AN56" s="90" t="s">
        <v>12</v>
      </c>
      <c r="AO56" s="246"/>
      <c r="AP56" s="91"/>
      <c r="AQ56" s="73"/>
      <c r="AR56" s="92"/>
      <c r="AS56" s="470"/>
    </row>
    <row r="57" spans="1:45" ht="15.75" customHeight="1" thickBot="1">
      <c r="A57" s="392" t="s">
        <v>240</v>
      </c>
      <c r="B57" s="393" t="s">
        <v>68</v>
      </c>
      <c r="C57" s="394"/>
      <c r="D57" s="395" t="s">
        <v>195</v>
      </c>
      <c r="E57" s="395" t="s">
        <v>195</v>
      </c>
      <c r="F57" s="396" t="s">
        <v>195</v>
      </c>
      <c r="G57" s="397">
        <v>43</v>
      </c>
      <c r="H57" s="398">
        <v>6.2</v>
      </c>
      <c r="I57" s="399" t="s">
        <v>314</v>
      </c>
      <c r="J57" s="400">
        <v>6.2</v>
      </c>
      <c r="K57" s="401"/>
      <c r="L57" s="402" t="s">
        <v>194</v>
      </c>
      <c r="M57" s="403" t="s">
        <v>273</v>
      </c>
      <c r="N57" s="404"/>
      <c r="O57" s="405"/>
      <c r="P57" s="406"/>
      <c r="Q57" s="407"/>
      <c r="R57" s="408"/>
      <c r="S57" s="393" t="s">
        <v>195</v>
      </c>
      <c r="T57" s="401" t="s">
        <v>86</v>
      </c>
      <c r="U57" s="403" t="s">
        <v>30</v>
      </c>
      <c r="V57" s="409">
        <f>1/2.12</f>
        <v>0.47169811320754712</v>
      </c>
      <c r="W57" s="410">
        <v>8.9285714285714288E-2</v>
      </c>
      <c r="X57" s="407" t="s">
        <v>195</v>
      </c>
      <c r="Y57" s="411">
        <f>1/2.17</f>
        <v>0.46082949308755761</v>
      </c>
      <c r="Z57" s="410">
        <v>9.2592592592592587E-2</v>
      </c>
      <c r="AA57" s="407" t="s">
        <v>195</v>
      </c>
      <c r="AB57" s="411" t="s">
        <v>195</v>
      </c>
      <c r="AC57" s="410" t="s">
        <v>195</v>
      </c>
      <c r="AD57" s="412" t="s">
        <v>195</v>
      </c>
      <c r="AE57" s="393" t="s">
        <v>92</v>
      </c>
      <c r="AF57" s="413">
        <v>1.02</v>
      </c>
      <c r="AG57" s="414" t="s">
        <v>195</v>
      </c>
      <c r="AH57" s="415" t="s">
        <v>195</v>
      </c>
      <c r="AI57" s="413">
        <v>0.93500000000000005</v>
      </c>
      <c r="AJ57" s="414" t="s">
        <v>195</v>
      </c>
      <c r="AK57" s="415" t="s">
        <v>195</v>
      </c>
      <c r="AL57" s="413" t="s">
        <v>195</v>
      </c>
      <c r="AM57" s="414" t="s">
        <v>195</v>
      </c>
      <c r="AN57" s="415" t="s">
        <v>195</v>
      </c>
      <c r="AO57" s="416" t="s">
        <v>289</v>
      </c>
      <c r="AP57" s="417"/>
      <c r="AQ57" s="399"/>
      <c r="AR57" s="418"/>
      <c r="AS57" s="477"/>
    </row>
    <row r="58" spans="1:45" ht="15.75" customHeight="1">
      <c r="S58" s="521" t="s">
        <v>354</v>
      </c>
      <c r="T58" s="280" t="s">
        <v>293</v>
      </c>
      <c r="AD58" s="521" t="s">
        <v>360</v>
      </c>
      <c r="AE58" s="280" t="s">
        <v>310</v>
      </c>
    </row>
    <row r="59" spans="1:45" ht="15.75" customHeight="1">
      <c r="A59" s="346" t="s">
        <v>357</v>
      </c>
      <c r="T59" s="378" t="s">
        <v>294</v>
      </c>
      <c r="AE59" s="280" t="s">
        <v>304</v>
      </c>
    </row>
    <row r="60" spans="1:45" ht="15.75" customHeight="1">
      <c r="A60" s="346" t="s">
        <v>358</v>
      </c>
      <c r="T60" s="376" t="s">
        <v>370</v>
      </c>
      <c r="AE60" s="378" t="s">
        <v>296</v>
      </c>
    </row>
    <row r="61" spans="1:45" ht="15.75" customHeight="1">
      <c r="A61" s="346" t="s">
        <v>359</v>
      </c>
      <c r="T61" s="378" t="s">
        <v>309</v>
      </c>
      <c r="AE61" s="378" t="s">
        <v>312</v>
      </c>
    </row>
    <row r="62" spans="1:45" ht="15.75" customHeight="1">
      <c r="T62" s="378" t="s">
        <v>311</v>
      </c>
      <c r="AE62" s="280" t="s">
        <v>366</v>
      </c>
    </row>
    <row r="63" spans="1:45" ht="15.75" customHeight="1">
      <c r="T63" s="280" t="s">
        <v>371</v>
      </c>
      <c r="AE63" s="378" t="s">
        <v>297</v>
      </c>
    </row>
    <row r="64" spans="1:45" ht="15.75" customHeight="1">
      <c r="T64" s="378" t="s">
        <v>298</v>
      </c>
      <c r="AE64" s="280" t="s">
        <v>305</v>
      </c>
    </row>
    <row r="65" spans="20:31" ht="15.75" customHeight="1">
      <c r="T65" s="378" t="s">
        <v>299</v>
      </c>
      <c r="AE65" s="378" t="s">
        <v>300</v>
      </c>
    </row>
    <row r="66" spans="20:31" ht="15.75" customHeight="1">
      <c r="T66" s="280" t="s">
        <v>372</v>
      </c>
      <c r="AE66" s="280" t="s">
        <v>374</v>
      </c>
    </row>
    <row r="67" spans="20:31" ht="15.75" customHeight="1">
      <c r="T67" s="280" t="s">
        <v>373</v>
      </c>
      <c r="AE67" s="280" t="s">
        <v>367</v>
      </c>
    </row>
    <row r="68" spans="20:31" ht="15.75" customHeight="1">
      <c r="T68" s="280" t="s">
        <v>301</v>
      </c>
      <c r="AE68" s="280" t="s">
        <v>368</v>
      </c>
    </row>
    <row r="69" spans="20:31" ht="15.75" customHeight="1">
      <c r="T69" s="280" t="s">
        <v>308</v>
      </c>
      <c r="AE69" s="378" t="s">
        <v>313</v>
      </c>
    </row>
    <row r="70" spans="20:31" ht="17.100000000000001" customHeight="1">
      <c r="T70" s="16" t="s">
        <v>295</v>
      </c>
      <c r="AE70" s="378" t="s">
        <v>306</v>
      </c>
    </row>
    <row r="71" spans="20:31" ht="17.100000000000001" customHeight="1">
      <c r="T71" s="533" t="s">
        <v>375</v>
      </c>
      <c r="AE71" s="280" t="s">
        <v>302</v>
      </c>
    </row>
    <row r="72" spans="20:31" ht="17.100000000000001" customHeight="1">
      <c r="T72" s="533" t="s">
        <v>376</v>
      </c>
      <c r="AE72" s="378" t="s">
        <v>369</v>
      </c>
    </row>
    <row r="73" spans="20:31" ht="17.100000000000001" customHeight="1">
      <c r="T73" s="16" t="s">
        <v>295</v>
      </c>
      <c r="AE73" s="495" t="s">
        <v>303</v>
      </c>
    </row>
    <row r="74" spans="20:31" ht="17.100000000000001" customHeight="1">
      <c r="T74" s="16" t="s">
        <v>295</v>
      </c>
      <c r="AE74" s="378" t="s">
        <v>307</v>
      </c>
    </row>
    <row r="76" spans="20:31" ht="17.100000000000001" customHeight="1">
      <c r="AE76" s="533" t="s">
        <v>375</v>
      </c>
    </row>
    <row r="77" spans="20:31" ht="17.100000000000001" customHeight="1">
      <c r="AE77" s="533" t="s">
        <v>376</v>
      </c>
    </row>
  </sheetData>
  <mergeCells count="23">
    <mergeCell ref="H32:K32"/>
    <mergeCell ref="M32:O32"/>
    <mergeCell ref="V32:AD32"/>
    <mergeCell ref="AO1:AR1"/>
    <mergeCell ref="P2:Q2"/>
    <mergeCell ref="AO2:AR2"/>
    <mergeCell ref="H15:K15"/>
    <mergeCell ref="M15:O15"/>
    <mergeCell ref="V15:AD15"/>
    <mergeCell ref="V1:AD1"/>
    <mergeCell ref="H3:K3"/>
    <mergeCell ref="M1:O1"/>
    <mergeCell ref="N2:O2"/>
    <mergeCell ref="L1:L3"/>
    <mergeCell ref="P1:R1"/>
    <mergeCell ref="AF1:AN1"/>
    <mergeCell ref="M2:M3"/>
    <mergeCell ref="R2:R3"/>
    <mergeCell ref="A1:A3"/>
    <mergeCell ref="B1:B3"/>
    <mergeCell ref="C1:C3"/>
    <mergeCell ref="D1:F1"/>
    <mergeCell ref="H1:K2"/>
  </mergeCells>
  <phoneticPr fontId="1"/>
  <printOptions horizontalCentered="1"/>
  <pageMargins left="0.59055118110236227" right="0.39370078740157483" top="0.59055118110236227" bottom="0.19685039370078741" header="0.31496062992125984" footer="0.27559055118110237"/>
  <pageSetup paperSize="8" pageOrder="overThenDown" orientation="landscape" r:id="rId1"/>
  <headerFooter alignWithMargins="0">
    <oddHeader>&amp;C&amp;"ＭＳ ゴシック,太字 斜体"&amp;16&amp;H          塔状構造物の減衰データベース一覧　　　&amp;R&amp;"ＭＳ Ｐ明朝,太字 斜体"平成&amp;"Times New Roman,太字 斜体"27&amp;"ＭＳ Ｐ明朝,太字 斜体"年&amp;"Times New Roman,太字 斜体"11&amp;"ＭＳ Ｐ明朝,太字 斜体"月&amp;"Times New Roman,太字 斜体"30&amp;"ＭＳ Ｐ明朝,太字 斜体"日現在　</oddHeader>
    <oddFooter>&amp;R&amp;"ＭＳ Ｐ明朝,太字 斜体"Page &amp;P&amp;11/&amp;N</oddFooter>
  </headerFooter>
  <ignoredErrors>
    <ignoredError sqref="V16:AD31 V32:AD57 U32:U34 U16:U31 U4:U15 U46:U57 U36:U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Notice</vt:lpstr>
      <vt:lpstr>Towers</vt:lpstr>
      <vt:lpstr>Steel lattice towers</vt:lpstr>
      <vt:lpstr>Chimneys</vt:lpstr>
      <vt:lpstr>Chimneys!Print_Titles</vt:lpstr>
      <vt:lpstr>'Steel lattice towers'!Print_Titles</vt:lpstr>
      <vt:lpstr>Towers!Print_Titles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Naoki SATAKE</dc:creator>
  <cp:lastModifiedBy> </cp:lastModifiedBy>
  <cp:lastPrinted>2015-11-30T09:02:42Z</cp:lastPrinted>
  <dcterms:created xsi:type="dcterms:W3CDTF">1998-10-22T07:52:10Z</dcterms:created>
  <dcterms:modified xsi:type="dcterms:W3CDTF">2023-11-21T16:10:21Z</dcterms:modified>
</cp:coreProperties>
</file>